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pivotTables/pivotTable1.xml" ContentType="application/vnd.openxmlformats-officedocument.spreadsheetml.pivotTable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-15" windowWidth="19260" windowHeight="2970"/>
  </bookViews>
  <sheets>
    <sheet name="Table of Contents" sheetId="23" r:id="rId1"/>
    <sheet name="BasicSetup" sheetId="24" r:id="rId2"/>
    <sheet name="GFM_OriginalTable" sheetId="17" r:id="rId3"/>
    <sheet name="GFM_Variables" sheetId="21" r:id="rId4"/>
    <sheet name="GFM_Data" sheetId="19" r:id="rId5"/>
    <sheet name="GFM_AggregAlternat" sheetId="18" r:id="rId6"/>
    <sheet name="C_OriginalTable" sheetId="1" r:id="rId7"/>
    <sheet name="C_WorkingCopy" sheetId="2" r:id="rId8"/>
    <sheet name="C_Variables" sheetId="5" r:id="rId9"/>
    <sheet name="C_Data" sheetId="4" r:id="rId10"/>
    <sheet name="C_WeightExperim" sheetId="9" r:id="rId11"/>
    <sheet name="C_WeightsFormatted" sheetId="8" r:id="rId12"/>
    <sheet name="C_SubindicesData" sheetId="13" r:id="rId13"/>
    <sheet name="C_SubindicesSummary" sheetId="14" r:id="rId14"/>
    <sheet name="C_LSmethodProcess" sheetId="16" r:id="rId15"/>
    <sheet name="C_LSmethodCompare" sheetId="15" r:id="rId16"/>
    <sheet name="C_MissingImputed" sheetId="25" r:id="rId17"/>
    <sheet name="ListOfNamedRanges" sheetId="22" r:id="rId18"/>
  </sheets>
  <definedNames>
    <definedName name="_xlnm._FilterDatabase" localSheetId="2" hidden="1">GFM_OriginalTable!$B$7:$AB$154</definedName>
    <definedName name="_xlnm._FilterDatabase" localSheetId="17" hidden="1">ListOfNamedRanges!$A$1:$E$54</definedName>
    <definedName name="CAPACITY">GFM_AggregAlternat!$P$2:$P$148</definedName>
    <definedName name="ComMeas_Med">C_MissingImputed!$AB$2:$AB$17</definedName>
    <definedName name="Composite" localSheetId="12">C_SubindicesData!$R$4:$R$21</definedName>
    <definedName name="Composite">C_WorkingCopy!$Q$4:$Q$21</definedName>
    <definedName name="Composite2" localSheetId="10">C_WeightExperim!$L$3:$L$18</definedName>
    <definedName name="Country">GFM_AggregAlternat!$A$2:$A$148</definedName>
    <definedName name="CropDam_Med">C_MissingImputed!$U$2:$U$17</definedName>
    <definedName name="CropDamageWeight">C_WeightExperim!$B$22</definedName>
    <definedName name="CropMiss">C_MissingImputed!$Q$2:$Q$17</definedName>
    <definedName name="Crops" localSheetId="14">C_LSmethodProcess!$F$8:$F$23</definedName>
    <definedName name="Crops">C_LSmethodCompare!$F$3:$F$18</definedName>
    <definedName name="Crops2">C_LSmethodProcess!$F$34:$F$49</definedName>
    <definedName name="_xlnm.Database">C_SubindicesData!$A$3:$X$21</definedName>
    <definedName name="Dataset">GFM_OriginalTable!$B$8:$AB$154</definedName>
    <definedName name="Dependency">GFM_AggregAlternat!$J$2:$J$148</definedName>
    <definedName name="Displace" localSheetId="14">C_LSmethodProcess!$D$8:$D$23</definedName>
    <definedName name="Displace">C_LSmethodCompare!$D$3:$D$18</definedName>
    <definedName name="Displaced_Med">C_MissingImputed!$T$2:$T$17</definedName>
    <definedName name="DisplacedMiss">C_MissingImputed!$P$2:$P$17</definedName>
    <definedName name="DisplacementWeight">C_WeightExperim!$B$21</definedName>
    <definedName name="Economic">GFM_AggregAlternat!$N$2:$N$148</definedName>
    <definedName name="Environment">GFM_AggregAlternat!$K$2:$K$148</definedName>
    <definedName name="Focus">GFM_AggregAlternat!$U$2:$U$148</definedName>
    <definedName name="Focus_Data" localSheetId="2">GFM_OriginalTable!$B$8:$AC$154</definedName>
    <definedName name="HAZARD">GFM_AggregAlternat!$G$2:$G$148</definedName>
    <definedName name="HC_Designated">GFM_AggregAlternat!$B$2:$B$148</definedName>
    <definedName name="HealthCenter_Med">C_MissingImputed!$V$2:$V$17</definedName>
    <definedName name="HealthCenters" localSheetId="14">C_LSmethodProcess!$H$8:$H$23</definedName>
    <definedName name="HealthCenters">C_LSmethodCompare!$H$3:$H$18</definedName>
    <definedName name="HealthCenterWeight">C_WeightExperim!$B$23</definedName>
    <definedName name="HealthMiss">C_MissingImputed!$R$2:$R$17</definedName>
    <definedName name="HHimpactLine">C_SubindicesData!$C$28</definedName>
    <definedName name="Human">GFM_AggregAlternat!$F$2:$F$148</definedName>
    <definedName name="Humanitarian">GFM_AggregAlternat!$R$2:$R$148</definedName>
    <definedName name="Indicator_1">BasicSetup!$B$23:$B$25</definedName>
    <definedName name="Indicator_2">BasicSetup!$C$23:$C$25</definedName>
    <definedName name="Infrastructure">GFM_AggregAlternat!$O$2:$O$148</definedName>
    <definedName name="Institutional">GFM_AggregAlternat!$M$2:$M$148</definedName>
    <definedName name="Livelihood">GFM_AggregAlternat!$I$2:$I$148</definedName>
    <definedName name="Modifier">GFM_AggregAlternat!$S$2:$S$148</definedName>
    <definedName name="Natural">GFM_AggregAlternat!$E$2:$E$148</definedName>
    <definedName name="OCHA_Presence">GFM_AggregAlternat!$C$2:$C$148</definedName>
    <definedName name="OCHA_Region">GFM_AggregAlternat!$D$2:$D$148</definedName>
    <definedName name="PCallDisplaced" localSheetId="9">C_Data!$H$2:$H$19</definedName>
    <definedName name="Poverty">GFM_AggregAlternat!$H$2:$H$148</definedName>
    <definedName name="RankDiff">GFM_AggregAlternat!$Y$2:$Y$148</definedName>
    <definedName name="Ranks2" localSheetId="15">C_LSmethodCompare!$L$3:$L$18</definedName>
    <definedName name="Ranks2" localSheetId="10">C_WeightExperim!$M$3:$M$18</definedName>
    <definedName name="RatioDisplToPop" localSheetId="9">C_Data!$I$2:$I$19</definedName>
    <definedName name="RDiffAbs">GFM_AggregAlternat!$Z$2:$Z$148</definedName>
    <definedName name="Risk">GFM_AggregAlternat!$Q$2:$Q$148</definedName>
    <definedName name="RiskAggregAlt">GFM_AggregAlternat!$V$2:$V$148</definedName>
    <definedName name="RiskAltRank">GFM_AggregAlternat!$X$2:$X$148</definedName>
    <definedName name="RiskRank">GFM_AggregAlternat!$W$2:$W$148</definedName>
    <definedName name="SchoolMiss">C_MissingImputed!$S$2:$S$17</definedName>
    <definedName name="SchoolNeeds" localSheetId="14">C_LSmethodProcess!$J$8:$J$23</definedName>
    <definedName name="SchoolNeeds">C_LSmethodCompare!$J$3:$J$18</definedName>
    <definedName name="SchoolNeeds_Med">C_MissingImputed!$W$2:$W$17</definedName>
    <definedName name="SchoolNeedWeight" localSheetId="10">C_WeightExperim!$B$24</definedName>
    <definedName name="ServiceDisruptLine">C_SubindicesData!$C$29</definedName>
    <definedName name="UnknownVar">GFM_AggregAlternat!$T$2:$T$148</definedName>
    <definedName name="VULNERABILITY">GFM_AggregAlternat!$L$2:$L$148</definedName>
    <definedName name="W1_">BasicSetup!$B$28</definedName>
    <definedName name="W2_">BasicSetup!$B$29</definedName>
    <definedName name="Weights">C_WeightExperim!$B$21:$B$24</definedName>
  </definedNames>
  <calcPr calcId="125725" calcMode="autoNoTable" refMode="R1C1"/>
  <pivotCaches>
    <pivotCache cacheId="0" r:id="rId19"/>
  </pivotCaches>
</workbook>
</file>

<file path=xl/calcChain.xml><?xml version="1.0" encoding="utf-8"?>
<calcChain xmlns="http://schemas.openxmlformats.org/spreadsheetml/2006/main">
  <c r="W17" i="25"/>
  <c r="AA17" s="1"/>
  <c r="V17"/>
  <c r="Z17" s="1"/>
  <c r="U17"/>
  <c r="Y17" s="1"/>
  <c r="T17"/>
  <c r="X17" s="1"/>
  <c r="AB17" s="1"/>
  <c r="W16"/>
  <c r="AA16" s="1"/>
  <c r="V16"/>
  <c r="Z16" s="1"/>
  <c r="U16"/>
  <c r="Y16" s="1"/>
  <c r="T16"/>
  <c r="X16" s="1"/>
  <c r="AB16" s="1"/>
  <c r="W15"/>
  <c r="AA15" s="1"/>
  <c r="V15"/>
  <c r="Z15" s="1"/>
  <c r="U15"/>
  <c r="Y15" s="1"/>
  <c r="T15"/>
  <c r="X15" s="1"/>
  <c r="AB15" s="1"/>
  <c r="W14"/>
  <c r="AA14" s="1"/>
  <c r="V14"/>
  <c r="Z14" s="1"/>
  <c r="U14"/>
  <c r="Y14" s="1"/>
  <c r="T14"/>
  <c r="X14" s="1"/>
  <c r="AB14" s="1"/>
  <c r="W13"/>
  <c r="AA13" s="1"/>
  <c r="V13"/>
  <c r="Z13" s="1"/>
  <c r="U13"/>
  <c r="Y13" s="1"/>
  <c r="T13"/>
  <c r="X13" s="1"/>
  <c r="AB13" s="1"/>
  <c r="W12"/>
  <c r="AA12" s="1"/>
  <c r="V12"/>
  <c r="Z12" s="1"/>
  <c r="U12"/>
  <c r="Y12" s="1"/>
  <c r="T12"/>
  <c r="X12" s="1"/>
  <c r="AB12" s="1"/>
  <c r="W11"/>
  <c r="AA11" s="1"/>
  <c r="V11"/>
  <c r="Z11" s="1"/>
  <c r="U11"/>
  <c r="Y11" s="1"/>
  <c r="T11"/>
  <c r="X11" s="1"/>
  <c r="AB11" s="1"/>
  <c r="W10"/>
  <c r="AA10" s="1"/>
  <c r="V10"/>
  <c r="Z10" s="1"/>
  <c r="U10"/>
  <c r="Y10" s="1"/>
  <c r="T10"/>
  <c r="X10" s="1"/>
  <c r="AB10" s="1"/>
  <c r="W9"/>
  <c r="AA9" s="1"/>
  <c r="V9"/>
  <c r="Z9" s="1"/>
  <c r="U9"/>
  <c r="Y9" s="1"/>
  <c r="T9"/>
  <c r="X9" s="1"/>
  <c r="AB9" s="1"/>
  <c r="W8"/>
  <c r="AA8" s="1"/>
  <c r="V8"/>
  <c r="Z8" s="1"/>
  <c r="U8"/>
  <c r="Y8" s="1"/>
  <c r="T8"/>
  <c r="X8" s="1"/>
  <c r="AB8" s="1"/>
  <c r="W7"/>
  <c r="AA7" s="1"/>
  <c r="V7"/>
  <c r="Z7" s="1"/>
  <c r="U7"/>
  <c r="Y7" s="1"/>
  <c r="T7"/>
  <c r="X7" s="1"/>
  <c r="AB7" s="1"/>
  <c r="W6"/>
  <c r="AA6" s="1"/>
  <c r="V6"/>
  <c r="Z6" s="1"/>
  <c r="U6"/>
  <c r="Y6" s="1"/>
  <c r="T6"/>
  <c r="X6" s="1"/>
  <c r="AB6" s="1"/>
  <c r="W5"/>
  <c r="AA5" s="1"/>
  <c r="V5"/>
  <c r="Z5" s="1"/>
  <c r="U5"/>
  <c r="Y5" s="1"/>
  <c r="T5"/>
  <c r="X5" s="1"/>
  <c r="AB5" s="1"/>
  <c r="W4"/>
  <c r="AA4" s="1"/>
  <c r="V4"/>
  <c r="Z4" s="1"/>
  <c r="U4"/>
  <c r="Y4" s="1"/>
  <c r="T4"/>
  <c r="X4" s="1"/>
  <c r="AB4" s="1"/>
  <c r="W3"/>
  <c r="AA3" s="1"/>
  <c r="V3"/>
  <c r="Z3" s="1"/>
  <c r="U3"/>
  <c r="Y3" s="1"/>
  <c r="T3"/>
  <c r="X3" s="1"/>
  <c r="AB3" s="1"/>
  <c r="W2"/>
  <c r="V2"/>
  <c r="U2"/>
  <c r="T2"/>
  <c r="Q24"/>
  <c r="Q26"/>
  <c r="Q25"/>
  <c r="Q27"/>
  <c r="AA2" l="1"/>
  <c r="Y2"/>
  <c r="X2"/>
  <c r="AB2" s="1"/>
  <c r="AC2" s="1"/>
  <c r="Z2"/>
  <c r="AC16" l="1"/>
  <c r="AC14"/>
  <c r="AC12"/>
  <c r="AC10"/>
  <c r="AC7"/>
  <c r="AC3"/>
  <c r="AC6"/>
  <c r="AC17"/>
  <c r="AC15"/>
  <c r="AC13"/>
  <c r="AC11"/>
  <c r="AC8"/>
  <c r="AC5"/>
  <c r="AC9"/>
  <c r="AC4"/>
  <c r="D24" i="24" l="1"/>
  <c r="D25"/>
  <c r="D23"/>
  <c r="J9"/>
  <c r="J10"/>
  <c r="J8"/>
  <c r="C10"/>
  <c r="E10" s="1"/>
  <c r="F12"/>
  <c r="G9" s="1"/>
  <c r="I9" s="1"/>
  <c r="B12"/>
  <c r="C9" s="1"/>
  <c r="E9" s="1"/>
  <c r="K9" s="1"/>
  <c r="W148" i="18"/>
  <c r="V148"/>
  <c r="X148" s="1"/>
  <c r="W147"/>
  <c r="V147"/>
  <c r="X147" s="1"/>
  <c r="W146"/>
  <c r="V146"/>
  <c r="X146" s="1"/>
  <c r="W145"/>
  <c r="V145"/>
  <c r="X145" s="1"/>
  <c r="W144"/>
  <c r="V144"/>
  <c r="X144" s="1"/>
  <c r="W143"/>
  <c r="V143"/>
  <c r="X143" s="1"/>
  <c r="W142"/>
  <c r="V142"/>
  <c r="X142" s="1"/>
  <c r="W141"/>
  <c r="V141"/>
  <c r="X141" s="1"/>
  <c r="W140"/>
  <c r="V140"/>
  <c r="X140" s="1"/>
  <c r="W139"/>
  <c r="V139"/>
  <c r="X139" s="1"/>
  <c r="W138"/>
  <c r="V138"/>
  <c r="X138" s="1"/>
  <c r="W137"/>
  <c r="V137"/>
  <c r="X137" s="1"/>
  <c r="W136"/>
  <c r="V136"/>
  <c r="X136" s="1"/>
  <c r="W135"/>
  <c r="V135"/>
  <c r="X135" s="1"/>
  <c r="W134"/>
  <c r="V134"/>
  <c r="X134" s="1"/>
  <c r="W133"/>
  <c r="V133"/>
  <c r="X133" s="1"/>
  <c r="W132"/>
  <c r="V132"/>
  <c r="X132" s="1"/>
  <c r="W131"/>
  <c r="V131"/>
  <c r="X131" s="1"/>
  <c r="W130"/>
  <c r="V130"/>
  <c r="X130" s="1"/>
  <c r="W129"/>
  <c r="V129"/>
  <c r="X129" s="1"/>
  <c r="W128"/>
  <c r="V128"/>
  <c r="X128" s="1"/>
  <c r="W127"/>
  <c r="V127"/>
  <c r="X127" s="1"/>
  <c r="W126"/>
  <c r="V126"/>
  <c r="X126" s="1"/>
  <c r="W125"/>
  <c r="V125"/>
  <c r="X125" s="1"/>
  <c r="W124"/>
  <c r="V124"/>
  <c r="X124" s="1"/>
  <c r="W123"/>
  <c r="V123"/>
  <c r="X123" s="1"/>
  <c r="W122"/>
  <c r="V122"/>
  <c r="X122" s="1"/>
  <c r="W121"/>
  <c r="V121"/>
  <c r="X121" s="1"/>
  <c r="W120"/>
  <c r="V120"/>
  <c r="X120" s="1"/>
  <c r="W119"/>
  <c r="V119"/>
  <c r="X119" s="1"/>
  <c r="W118"/>
  <c r="V118"/>
  <c r="X118" s="1"/>
  <c r="W117"/>
  <c r="V117"/>
  <c r="X117" s="1"/>
  <c r="W116"/>
  <c r="V116"/>
  <c r="X116" s="1"/>
  <c r="W115"/>
  <c r="V115"/>
  <c r="X115" s="1"/>
  <c r="W114"/>
  <c r="V114"/>
  <c r="X114" s="1"/>
  <c r="W113"/>
  <c r="V113"/>
  <c r="X113" s="1"/>
  <c r="W112"/>
  <c r="V112"/>
  <c r="X112" s="1"/>
  <c r="W111"/>
  <c r="V111"/>
  <c r="X111" s="1"/>
  <c r="W110"/>
  <c r="V110"/>
  <c r="X110" s="1"/>
  <c r="W109"/>
  <c r="V109"/>
  <c r="X109" s="1"/>
  <c r="W108"/>
  <c r="V108"/>
  <c r="X108" s="1"/>
  <c r="W107"/>
  <c r="V107"/>
  <c r="X107" s="1"/>
  <c r="W106"/>
  <c r="V106"/>
  <c r="X106" s="1"/>
  <c r="W105"/>
  <c r="V105"/>
  <c r="X105" s="1"/>
  <c r="W104"/>
  <c r="V104"/>
  <c r="X104" s="1"/>
  <c r="W103"/>
  <c r="V103"/>
  <c r="X103" s="1"/>
  <c r="W102"/>
  <c r="V102"/>
  <c r="X102" s="1"/>
  <c r="W101"/>
  <c r="V101"/>
  <c r="X101" s="1"/>
  <c r="W100"/>
  <c r="V100"/>
  <c r="X100" s="1"/>
  <c r="W99"/>
  <c r="V99"/>
  <c r="X99" s="1"/>
  <c r="W98"/>
  <c r="V98"/>
  <c r="X98" s="1"/>
  <c r="W97"/>
  <c r="V97"/>
  <c r="X97" s="1"/>
  <c r="W96"/>
  <c r="V96"/>
  <c r="X96" s="1"/>
  <c r="W95"/>
  <c r="V95"/>
  <c r="X95" s="1"/>
  <c r="W94"/>
  <c r="V94"/>
  <c r="X94" s="1"/>
  <c r="W93"/>
  <c r="V93"/>
  <c r="X93" s="1"/>
  <c r="W92"/>
  <c r="V92"/>
  <c r="X92" s="1"/>
  <c r="W91"/>
  <c r="V91"/>
  <c r="X91" s="1"/>
  <c r="W90"/>
  <c r="V90"/>
  <c r="X90" s="1"/>
  <c r="W89"/>
  <c r="V89"/>
  <c r="X89" s="1"/>
  <c r="W88"/>
  <c r="V88"/>
  <c r="X88" s="1"/>
  <c r="W87"/>
  <c r="V87"/>
  <c r="X87" s="1"/>
  <c r="W86"/>
  <c r="V86"/>
  <c r="X86" s="1"/>
  <c r="W85"/>
  <c r="V85"/>
  <c r="X85" s="1"/>
  <c r="W84"/>
  <c r="V84"/>
  <c r="X84" s="1"/>
  <c r="W83"/>
  <c r="V83"/>
  <c r="X83" s="1"/>
  <c r="W82"/>
  <c r="V82"/>
  <c r="X82" s="1"/>
  <c r="W81"/>
  <c r="V81"/>
  <c r="X81" s="1"/>
  <c r="W80"/>
  <c r="V80"/>
  <c r="X80" s="1"/>
  <c r="W79"/>
  <c r="V79"/>
  <c r="X79" s="1"/>
  <c r="W78"/>
  <c r="V78"/>
  <c r="X78" s="1"/>
  <c r="W77"/>
  <c r="V77"/>
  <c r="X77" s="1"/>
  <c r="W76"/>
  <c r="V76"/>
  <c r="X76" s="1"/>
  <c r="W75"/>
  <c r="V75"/>
  <c r="X75" s="1"/>
  <c r="W74"/>
  <c r="V74"/>
  <c r="X74" s="1"/>
  <c r="W73"/>
  <c r="V73"/>
  <c r="X73" s="1"/>
  <c r="W72"/>
  <c r="V72"/>
  <c r="X72" s="1"/>
  <c r="W71"/>
  <c r="V71"/>
  <c r="X71" s="1"/>
  <c r="W70"/>
  <c r="V70"/>
  <c r="X70" s="1"/>
  <c r="W69"/>
  <c r="V69"/>
  <c r="X69" s="1"/>
  <c r="W68"/>
  <c r="V68"/>
  <c r="X68" s="1"/>
  <c r="W67"/>
  <c r="V67"/>
  <c r="X67" s="1"/>
  <c r="W66"/>
  <c r="V66"/>
  <c r="X66" s="1"/>
  <c r="W65"/>
  <c r="V65"/>
  <c r="X65" s="1"/>
  <c r="W64"/>
  <c r="V64"/>
  <c r="X64" s="1"/>
  <c r="W63"/>
  <c r="V63"/>
  <c r="X63" s="1"/>
  <c r="W62"/>
  <c r="V62"/>
  <c r="X62" s="1"/>
  <c r="W61"/>
  <c r="V61"/>
  <c r="X61" s="1"/>
  <c r="W60"/>
  <c r="V60"/>
  <c r="X60" s="1"/>
  <c r="W59"/>
  <c r="V59"/>
  <c r="X59" s="1"/>
  <c r="W58"/>
  <c r="V58"/>
  <c r="X58" s="1"/>
  <c r="W57"/>
  <c r="V57"/>
  <c r="X57" s="1"/>
  <c r="W56"/>
  <c r="V56"/>
  <c r="X56" s="1"/>
  <c r="W55"/>
  <c r="V55"/>
  <c r="X55" s="1"/>
  <c r="W54"/>
  <c r="V54"/>
  <c r="X54" s="1"/>
  <c r="W53"/>
  <c r="V53"/>
  <c r="X53" s="1"/>
  <c r="W52"/>
  <c r="V52"/>
  <c r="X52" s="1"/>
  <c r="W51"/>
  <c r="V51"/>
  <c r="X51" s="1"/>
  <c r="W50"/>
  <c r="V50"/>
  <c r="X50" s="1"/>
  <c r="W49"/>
  <c r="V49"/>
  <c r="X49" s="1"/>
  <c r="W48"/>
  <c r="V48"/>
  <c r="X48" s="1"/>
  <c r="W47"/>
  <c r="V47"/>
  <c r="X47" s="1"/>
  <c r="W46"/>
  <c r="V46"/>
  <c r="X46" s="1"/>
  <c r="W45"/>
  <c r="V45"/>
  <c r="X45" s="1"/>
  <c r="W44"/>
  <c r="V44"/>
  <c r="X44" s="1"/>
  <c r="W43"/>
  <c r="V43"/>
  <c r="X43" s="1"/>
  <c r="W42"/>
  <c r="V42"/>
  <c r="X42" s="1"/>
  <c r="W41"/>
  <c r="V41"/>
  <c r="X41" s="1"/>
  <c r="W40"/>
  <c r="V40"/>
  <c r="X40" s="1"/>
  <c r="W39"/>
  <c r="V39"/>
  <c r="X39" s="1"/>
  <c r="W38"/>
  <c r="V38"/>
  <c r="X38" s="1"/>
  <c r="W37"/>
  <c r="V37"/>
  <c r="X37" s="1"/>
  <c r="W36"/>
  <c r="V36"/>
  <c r="X36" s="1"/>
  <c r="W35"/>
  <c r="V35"/>
  <c r="X35" s="1"/>
  <c r="W34"/>
  <c r="V34"/>
  <c r="X34" s="1"/>
  <c r="W33"/>
  <c r="V33"/>
  <c r="X33" s="1"/>
  <c r="W32"/>
  <c r="V32"/>
  <c r="X32" s="1"/>
  <c r="W31"/>
  <c r="V31"/>
  <c r="X31" s="1"/>
  <c r="W30"/>
  <c r="V30"/>
  <c r="X30" s="1"/>
  <c r="W29"/>
  <c r="V29"/>
  <c r="X29" s="1"/>
  <c r="W28"/>
  <c r="V28"/>
  <c r="X28" s="1"/>
  <c r="W27"/>
  <c r="V27"/>
  <c r="X27" s="1"/>
  <c r="W26"/>
  <c r="V26"/>
  <c r="X26" s="1"/>
  <c r="W25"/>
  <c r="V25"/>
  <c r="X25" s="1"/>
  <c r="W24"/>
  <c r="V24"/>
  <c r="X24" s="1"/>
  <c r="W23"/>
  <c r="V23"/>
  <c r="X23" s="1"/>
  <c r="W22"/>
  <c r="V22"/>
  <c r="X22" s="1"/>
  <c r="W21"/>
  <c r="V21"/>
  <c r="X21" s="1"/>
  <c r="W20"/>
  <c r="V20"/>
  <c r="X20" s="1"/>
  <c r="W19"/>
  <c r="V19"/>
  <c r="X19" s="1"/>
  <c r="W18"/>
  <c r="V18"/>
  <c r="X18" s="1"/>
  <c r="W17"/>
  <c r="V17"/>
  <c r="X17" s="1"/>
  <c r="W16"/>
  <c r="V16"/>
  <c r="X16" s="1"/>
  <c r="W15"/>
  <c r="V15"/>
  <c r="X15" s="1"/>
  <c r="W14"/>
  <c r="V14"/>
  <c r="X14" s="1"/>
  <c r="W13"/>
  <c r="V13"/>
  <c r="X13" s="1"/>
  <c r="W12"/>
  <c r="V12"/>
  <c r="X12" s="1"/>
  <c r="W11"/>
  <c r="V11"/>
  <c r="X11" s="1"/>
  <c r="W10"/>
  <c r="V10"/>
  <c r="X10" s="1"/>
  <c r="W9"/>
  <c r="V9"/>
  <c r="X9" s="1"/>
  <c r="W8"/>
  <c r="V8"/>
  <c r="X8" s="1"/>
  <c r="W7"/>
  <c r="V7"/>
  <c r="X7" s="1"/>
  <c r="W6"/>
  <c r="V6"/>
  <c r="X6" s="1"/>
  <c r="W5"/>
  <c r="V5"/>
  <c r="X5" s="1"/>
  <c r="W4"/>
  <c r="V4"/>
  <c r="X4" s="1"/>
  <c r="W3"/>
  <c r="V3"/>
  <c r="X3" s="1"/>
  <c r="W2"/>
  <c r="V2"/>
  <c r="X2" s="1"/>
  <c r="T154" i="17"/>
  <c r="O154"/>
  <c r="I154"/>
  <c r="AB154" s="1"/>
  <c r="T153"/>
  <c r="O153"/>
  <c r="I153"/>
  <c r="V153" s="1"/>
  <c r="T152"/>
  <c r="O152"/>
  <c r="I152"/>
  <c r="AB152" s="1"/>
  <c r="T151"/>
  <c r="O151"/>
  <c r="I151"/>
  <c r="V151" s="1"/>
  <c r="T150"/>
  <c r="O150"/>
  <c r="I150"/>
  <c r="AB150" s="1"/>
  <c r="T149"/>
  <c r="O149"/>
  <c r="I149"/>
  <c r="V149" s="1"/>
  <c r="T148"/>
  <c r="O148"/>
  <c r="I148"/>
  <c r="AB148" s="1"/>
  <c r="T147"/>
  <c r="O147"/>
  <c r="I147"/>
  <c r="V147" s="1"/>
  <c r="T146"/>
  <c r="O146"/>
  <c r="I146"/>
  <c r="AB146" s="1"/>
  <c r="T145"/>
  <c r="O145"/>
  <c r="I145"/>
  <c r="V145" s="1"/>
  <c r="T144"/>
  <c r="O144"/>
  <c r="I144"/>
  <c r="AB144" s="1"/>
  <c r="T143"/>
  <c r="O143"/>
  <c r="I143"/>
  <c r="V143" s="1"/>
  <c r="T142"/>
  <c r="O142"/>
  <c r="I142"/>
  <c r="AB142" s="1"/>
  <c r="T141"/>
  <c r="O141"/>
  <c r="I141"/>
  <c r="V141" s="1"/>
  <c r="T140"/>
  <c r="O140"/>
  <c r="I140"/>
  <c r="AB140" s="1"/>
  <c r="T139"/>
  <c r="O139"/>
  <c r="I139"/>
  <c r="V139" s="1"/>
  <c r="T138"/>
  <c r="O138"/>
  <c r="I138"/>
  <c r="AB138" s="1"/>
  <c r="T137"/>
  <c r="O137"/>
  <c r="I137"/>
  <c r="V137" s="1"/>
  <c r="T136"/>
  <c r="O136"/>
  <c r="I136"/>
  <c r="AB136" s="1"/>
  <c r="T135"/>
  <c r="O135"/>
  <c r="I135"/>
  <c r="V135" s="1"/>
  <c r="T134"/>
  <c r="O134"/>
  <c r="I134"/>
  <c r="AB134" s="1"/>
  <c r="T133"/>
  <c r="O133"/>
  <c r="I133"/>
  <c r="V133" s="1"/>
  <c r="T132"/>
  <c r="O132"/>
  <c r="I132"/>
  <c r="AB132" s="1"/>
  <c r="T131"/>
  <c r="O131"/>
  <c r="I131"/>
  <c r="V131" s="1"/>
  <c r="T130"/>
  <c r="O130"/>
  <c r="I130"/>
  <c r="AB130" s="1"/>
  <c r="T129"/>
  <c r="O129"/>
  <c r="I129"/>
  <c r="V129" s="1"/>
  <c r="T128"/>
  <c r="O128"/>
  <c r="I128"/>
  <c r="AB128" s="1"/>
  <c r="T127"/>
  <c r="O127"/>
  <c r="I127"/>
  <c r="V127" s="1"/>
  <c r="T126"/>
  <c r="O126"/>
  <c r="I126"/>
  <c r="AB126" s="1"/>
  <c r="T125"/>
  <c r="O125"/>
  <c r="I125"/>
  <c r="V125" s="1"/>
  <c r="T124"/>
  <c r="O124"/>
  <c r="I124"/>
  <c r="AB124" s="1"/>
  <c r="T123"/>
  <c r="O123"/>
  <c r="I123"/>
  <c r="V123" s="1"/>
  <c r="T122"/>
  <c r="O122"/>
  <c r="I122"/>
  <c r="AB122" s="1"/>
  <c r="T121"/>
  <c r="O121"/>
  <c r="I121"/>
  <c r="V121" s="1"/>
  <c r="T120"/>
  <c r="O120"/>
  <c r="I120"/>
  <c r="T119"/>
  <c r="O119"/>
  <c r="I119"/>
  <c r="V119" s="1"/>
  <c r="T118"/>
  <c r="O118"/>
  <c r="V118" s="1"/>
  <c r="I118"/>
  <c r="AB118" s="1"/>
  <c r="T117"/>
  <c r="O117"/>
  <c r="I117"/>
  <c r="AB117" s="1"/>
  <c r="T116"/>
  <c r="O116"/>
  <c r="V116" s="1"/>
  <c r="I116"/>
  <c r="AB116" s="1"/>
  <c r="T115"/>
  <c r="O115"/>
  <c r="I115"/>
  <c r="V115" s="1"/>
  <c r="T114"/>
  <c r="O114"/>
  <c r="V114" s="1"/>
  <c r="I114"/>
  <c r="AB114" s="1"/>
  <c r="T113"/>
  <c r="O113"/>
  <c r="I113"/>
  <c r="V113" s="1"/>
  <c r="T112"/>
  <c r="O112"/>
  <c r="V112" s="1"/>
  <c r="I112"/>
  <c r="AB112" s="1"/>
  <c r="T111"/>
  <c r="O111"/>
  <c r="I111"/>
  <c r="AB111" s="1"/>
  <c r="T110"/>
  <c r="O110"/>
  <c r="V110" s="1"/>
  <c r="I110"/>
  <c r="AB110" s="1"/>
  <c r="T109"/>
  <c r="O109"/>
  <c r="I109"/>
  <c r="V109" s="1"/>
  <c r="T108"/>
  <c r="O108"/>
  <c r="V108" s="1"/>
  <c r="I108"/>
  <c r="AB108" s="1"/>
  <c r="T107"/>
  <c r="O107"/>
  <c r="I107"/>
  <c r="V107" s="1"/>
  <c r="T106"/>
  <c r="O106"/>
  <c r="V106" s="1"/>
  <c r="I106"/>
  <c r="AB106" s="1"/>
  <c r="T105"/>
  <c r="O105"/>
  <c r="I105"/>
  <c r="V105" s="1"/>
  <c r="T104"/>
  <c r="O104"/>
  <c r="V104" s="1"/>
  <c r="I104"/>
  <c r="AB104" s="1"/>
  <c r="T103"/>
  <c r="O103"/>
  <c r="I103"/>
  <c r="V103" s="1"/>
  <c r="T102"/>
  <c r="O102"/>
  <c r="V102" s="1"/>
  <c r="I102"/>
  <c r="AB102" s="1"/>
  <c r="T101"/>
  <c r="O101"/>
  <c r="I101"/>
  <c r="V101" s="1"/>
  <c r="T100"/>
  <c r="O100"/>
  <c r="V100" s="1"/>
  <c r="I100"/>
  <c r="AB100" s="1"/>
  <c r="T99"/>
  <c r="O99"/>
  <c r="I99"/>
  <c r="V99" s="1"/>
  <c r="T98"/>
  <c r="O98"/>
  <c r="V98" s="1"/>
  <c r="I98"/>
  <c r="AB98" s="1"/>
  <c r="T97"/>
  <c r="O97"/>
  <c r="I97"/>
  <c r="AB97" s="1"/>
  <c r="T96"/>
  <c r="O96"/>
  <c r="V96" s="1"/>
  <c r="I96"/>
  <c r="AB96" s="1"/>
  <c r="T95"/>
  <c r="O95"/>
  <c r="I95"/>
  <c r="V95" s="1"/>
  <c r="T94"/>
  <c r="O94"/>
  <c r="V94" s="1"/>
  <c r="I94"/>
  <c r="AB94" s="1"/>
  <c r="T93"/>
  <c r="O93"/>
  <c r="I93"/>
  <c r="V93" s="1"/>
  <c r="T92"/>
  <c r="O92"/>
  <c r="V92" s="1"/>
  <c r="I92"/>
  <c r="AB92" s="1"/>
  <c r="T91"/>
  <c r="O91"/>
  <c r="I91"/>
  <c r="AB91" s="1"/>
  <c r="T90"/>
  <c r="O90"/>
  <c r="V90" s="1"/>
  <c r="I90"/>
  <c r="AB90" s="1"/>
  <c r="T89"/>
  <c r="O89"/>
  <c r="I89"/>
  <c r="V89" s="1"/>
  <c r="T88"/>
  <c r="O88"/>
  <c r="V88" s="1"/>
  <c r="I88"/>
  <c r="AB88" s="1"/>
  <c r="T87"/>
  <c r="O87"/>
  <c r="I87"/>
  <c r="AB87" s="1"/>
  <c r="T86"/>
  <c r="O86"/>
  <c r="V86" s="1"/>
  <c r="I86"/>
  <c r="AB86" s="1"/>
  <c r="T85"/>
  <c r="O85"/>
  <c r="I85"/>
  <c r="AB85" s="1"/>
  <c r="T84"/>
  <c r="O84"/>
  <c r="V84" s="1"/>
  <c r="I84"/>
  <c r="AB84" s="1"/>
  <c r="T83"/>
  <c r="O83"/>
  <c r="I83"/>
  <c r="V83" s="1"/>
  <c r="T82"/>
  <c r="O82"/>
  <c r="V82" s="1"/>
  <c r="I82"/>
  <c r="AB82" s="1"/>
  <c r="T81"/>
  <c r="O81"/>
  <c r="I81"/>
  <c r="AB81" s="1"/>
  <c r="T80"/>
  <c r="O80"/>
  <c r="V80" s="1"/>
  <c r="I80"/>
  <c r="AB80" s="1"/>
  <c r="T79"/>
  <c r="O79"/>
  <c r="I79"/>
  <c r="AB79" s="1"/>
  <c r="T78"/>
  <c r="O78"/>
  <c r="V78" s="1"/>
  <c r="I78"/>
  <c r="AB78" s="1"/>
  <c r="T77"/>
  <c r="O77"/>
  <c r="I77"/>
  <c r="V77" s="1"/>
  <c r="T76"/>
  <c r="O76"/>
  <c r="V76" s="1"/>
  <c r="I76"/>
  <c r="AB76" s="1"/>
  <c r="T75"/>
  <c r="O75"/>
  <c r="I75"/>
  <c r="AB75" s="1"/>
  <c r="T74"/>
  <c r="O74"/>
  <c r="V74" s="1"/>
  <c r="I74"/>
  <c r="AB74" s="1"/>
  <c r="T73"/>
  <c r="O73"/>
  <c r="I73"/>
  <c r="V73" s="1"/>
  <c r="T72"/>
  <c r="O72"/>
  <c r="V72" s="1"/>
  <c r="I72"/>
  <c r="AB72" s="1"/>
  <c r="T71"/>
  <c r="O71"/>
  <c r="I71"/>
  <c r="AB71" s="1"/>
  <c r="T70"/>
  <c r="O70"/>
  <c r="V70" s="1"/>
  <c r="I70"/>
  <c r="AB70" s="1"/>
  <c r="T69"/>
  <c r="O69"/>
  <c r="I69"/>
  <c r="AB69" s="1"/>
  <c r="T68"/>
  <c r="O68"/>
  <c r="V68" s="1"/>
  <c r="I68"/>
  <c r="AB68" s="1"/>
  <c r="T67"/>
  <c r="O67"/>
  <c r="I67"/>
  <c r="V67" s="1"/>
  <c r="T66"/>
  <c r="O66"/>
  <c r="V66" s="1"/>
  <c r="I66"/>
  <c r="AB66" s="1"/>
  <c r="T65"/>
  <c r="O65"/>
  <c r="I65"/>
  <c r="AB65" s="1"/>
  <c r="T64"/>
  <c r="O64"/>
  <c r="V64" s="1"/>
  <c r="I64"/>
  <c r="AB64" s="1"/>
  <c r="T63"/>
  <c r="O63"/>
  <c r="I63"/>
  <c r="V63" s="1"/>
  <c r="T62"/>
  <c r="O62"/>
  <c r="V62" s="1"/>
  <c r="I62"/>
  <c r="AB62" s="1"/>
  <c r="T61"/>
  <c r="O61"/>
  <c r="I61"/>
  <c r="AB61" s="1"/>
  <c r="T60"/>
  <c r="O60"/>
  <c r="V60" s="1"/>
  <c r="I60"/>
  <c r="AB60" s="1"/>
  <c r="T59"/>
  <c r="O59"/>
  <c r="I59"/>
  <c r="V59" s="1"/>
  <c r="T58"/>
  <c r="O58"/>
  <c r="V58" s="1"/>
  <c r="I58"/>
  <c r="AB58" s="1"/>
  <c r="T57"/>
  <c r="O57"/>
  <c r="I57"/>
  <c r="V57" s="1"/>
  <c r="T56"/>
  <c r="O56"/>
  <c r="V56" s="1"/>
  <c r="I56"/>
  <c r="AB56" s="1"/>
  <c r="T55"/>
  <c r="O55"/>
  <c r="I55"/>
  <c r="AB55" s="1"/>
  <c r="T54"/>
  <c r="O54"/>
  <c r="V54" s="1"/>
  <c r="I54"/>
  <c r="AB54" s="1"/>
  <c r="T53"/>
  <c r="O53"/>
  <c r="I53"/>
  <c r="AB53" s="1"/>
  <c r="T52"/>
  <c r="O52"/>
  <c r="V52" s="1"/>
  <c r="I52"/>
  <c r="AB52" s="1"/>
  <c r="T51"/>
  <c r="O51"/>
  <c r="I51"/>
  <c r="AB51" s="1"/>
  <c r="T50"/>
  <c r="O50"/>
  <c r="V50" s="1"/>
  <c r="I50"/>
  <c r="AB50" s="1"/>
  <c r="T49"/>
  <c r="O49"/>
  <c r="I49"/>
  <c r="V49" s="1"/>
  <c r="T48"/>
  <c r="O48"/>
  <c r="V48" s="1"/>
  <c r="I48"/>
  <c r="AB48" s="1"/>
  <c r="T47"/>
  <c r="O47"/>
  <c r="I47"/>
  <c r="AB47" s="1"/>
  <c r="T46"/>
  <c r="O46"/>
  <c r="V46" s="1"/>
  <c r="I46"/>
  <c r="AB46" s="1"/>
  <c r="T45"/>
  <c r="O45"/>
  <c r="I45"/>
  <c r="AB45" s="1"/>
  <c r="T44"/>
  <c r="O44"/>
  <c r="V44" s="1"/>
  <c r="I44"/>
  <c r="AB44" s="1"/>
  <c r="T43"/>
  <c r="O43"/>
  <c r="I43"/>
  <c r="V43" s="1"/>
  <c r="T42"/>
  <c r="O42"/>
  <c r="V42" s="1"/>
  <c r="I42"/>
  <c r="AB42" s="1"/>
  <c r="T41"/>
  <c r="O41"/>
  <c r="I41"/>
  <c r="V41" s="1"/>
  <c r="T40"/>
  <c r="O40"/>
  <c r="V40" s="1"/>
  <c r="I40"/>
  <c r="AB40" s="1"/>
  <c r="T39"/>
  <c r="O39"/>
  <c r="I39"/>
  <c r="V39" s="1"/>
  <c r="T38"/>
  <c r="O38"/>
  <c r="V38" s="1"/>
  <c r="I38"/>
  <c r="AB38" s="1"/>
  <c r="T37"/>
  <c r="O37"/>
  <c r="I37"/>
  <c r="V37" s="1"/>
  <c r="T36"/>
  <c r="O36"/>
  <c r="V36" s="1"/>
  <c r="I36"/>
  <c r="AB36" s="1"/>
  <c r="T35"/>
  <c r="O35"/>
  <c r="I35"/>
  <c r="AB35" s="1"/>
  <c r="T34"/>
  <c r="O34"/>
  <c r="V34" s="1"/>
  <c r="I34"/>
  <c r="AB34" s="1"/>
  <c r="T33"/>
  <c r="O33"/>
  <c r="I33"/>
  <c r="AB33" s="1"/>
  <c r="T32"/>
  <c r="O32"/>
  <c r="V32" s="1"/>
  <c r="I32"/>
  <c r="AB32" s="1"/>
  <c r="T31"/>
  <c r="O31"/>
  <c r="I31"/>
  <c r="AB31" s="1"/>
  <c r="T30"/>
  <c r="O30"/>
  <c r="V30" s="1"/>
  <c r="I30"/>
  <c r="AB30" s="1"/>
  <c r="T29"/>
  <c r="O29"/>
  <c r="I29"/>
  <c r="AB29" s="1"/>
  <c r="T28"/>
  <c r="O28"/>
  <c r="V28" s="1"/>
  <c r="I28"/>
  <c r="AB28" s="1"/>
  <c r="T27"/>
  <c r="O27"/>
  <c r="I27"/>
  <c r="V27" s="1"/>
  <c r="T26"/>
  <c r="O26"/>
  <c r="V26" s="1"/>
  <c r="I26"/>
  <c r="AB26" s="1"/>
  <c r="T25"/>
  <c r="O25"/>
  <c r="I25"/>
  <c r="V25" s="1"/>
  <c r="T24"/>
  <c r="O24"/>
  <c r="V24" s="1"/>
  <c r="I24"/>
  <c r="AB24" s="1"/>
  <c r="T23"/>
  <c r="O23"/>
  <c r="I23"/>
  <c r="V23" s="1"/>
  <c r="T22"/>
  <c r="O22"/>
  <c r="V22" s="1"/>
  <c r="I22"/>
  <c r="AB22" s="1"/>
  <c r="T21"/>
  <c r="O21"/>
  <c r="I21"/>
  <c r="AB21" s="1"/>
  <c r="T20"/>
  <c r="O20"/>
  <c r="V20" s="1"/>
  <c r="I20"/>
  <c r="AB20" s="1"/>
  <c r="T19"/>
  <c r="O19"/>
  <c r="I19"/>
  <c r="V19" s="1"/>
  <c r="T18"/>
  <c r="O18"/>
  <c r="V18" s="1"/>
  <c r="I18"/>
  <c r="AB18" s="1"/>
  <c r="T17"/>
  <c r="O17"/>
  <c r="I17"/>
  <c r="AB17" s="1"/>
  <c r="T16"/>
  <c r="O16"/>
  <c r="V16" s="1"/>
  <c r="I16"/>
  <c r="AB16" s="1"/>
  <c r="T15"/>
  <c r="O15"/>
  <c r="I15"/>
  <c r="V15" s="1"/>
  <c r="T14"/>
  <c r="O14"/>
  <c r="V14" s="1"/>
  <c r="I14"/>
  <c r="AB14" s="1"/>
  <c r="T13"/>
  <c r="O13"/>
  <c r="I13"/>
  <c r="AB13" s="1"/>
  <c r="T12"/>
  <c r="O12"/>
  <c r="V12" s="1"/>
  <c r="I12"/>
  <c r="AB12" s="1"/>
  <c r="T11"/>
  <c r="O11"/>
  <c r="I11"/>
  <c r="V11" s="1"/>
  <c r="T10"/>
  <c r="O10"/>
  <c r="V10" s="1"/>
  <c r="I10"/>
  <c r="AB10" s="1"/>
  <c r="T9"/>
  <c r="O9"/>
  <c r="I9"/>
  <c r="AB9" s="1"/>
  <c r="T8"/>
  <c r="O8"/>
  <c r="V8" s="1"/>
  <c r="I8"/>
  <c r="AB8" s="1"/>
  <c r="G35" i="16"/>
  <c r="G36"/>
  <c r="G37"/>
  <c r="G38"/>
  <c r="G39"/>
  <c r="G40"/>
  <c r="G41"/>
  <c r="G42"/>
  <c r="G43"/>
  <c r="G44"/>
  <c r="G45"/>
  <c r="G46"/>
  <c r="G47"/>
  <c r="G48"/>
  <c r="G49"/>
  <c r="G34"/>
  <c r="E9"/>
  <c r="E10"/>
  <c r="E11"/>
  <c r="E12"/>
  <c r="E13"/>
  <c r="E14"/>
  <c r="E15"/>
  <c r="E16"/>
  <c r="E17"/>
  <c r="E18"/>
  <c r="E19"/>
  <c r="E20"/>
  <c r="E21"/>
  <c r="E22"/>
  <c r="E23"/>
  <c r="E8"/>
  <c r="K3" i="4"/>
  <c r="K7"/>
  <c r="K12"/>
  <c r="K8"/>
  <c r="K17"/>
  <c r="K6"/>
  <c r="K4"/>
  <c r="K13"/>
  <c r="K15"/>
  <c r="K9"/>
  <c r="K2"/>
  <c r="K18"/>
  <c r="K14"/>
  <c r="K5"/>
  <c r="K19"/>
  <c r="J3"/>
  <c r="J7"/>
  <c r="J12"/>
  <c r="J8"/>
  <c r="J17"/>
  <c r="J6"/>
  <c r="J4"/>
  <c r="J13"/>
  <c r="J15"/>
  <c r="J9"/>
  <c r="J2"/>
  <c r="J18"/>
  <c r="J14"/>
  <c r="J5"/>
  <c r="J19"/>
  <c r="G8" i="24" l="1"/>
  <c r="I8" s="1"/>
  <c r="G10"/>
  <c r="I10" s="1"/>
  <c r="K10" s="1"/>
  <c r="C8"/>
  <c r="E8" s="1"/>
  <c r="K8" s="1"/>
  <c r="AB120" i="17"/>
  <c r="V120"/>
  <c r="AB11"/>
  <c r="AB15"/>
  <c r="AB19"/>
  <c r="AB23"/>
  <c r="AB25"/>
  <c r="AB27"/>
  <c r="AB37"/>
  <c r="AB39"/>
  <c r="AB41"/>
  <c r="AB43"/>
  <c r="AB49"/>
  <c r="AB57"/>
  <c r="AB59"/>
  <c r="AB63"/>
  <c r="AB67"/>
  <c r="AB73"/>
  <c r="AB77"/>
  <c r="AB83"/>
  <c r="AB89"/>
  <c r="AB93"/>
  <c r="AB95"/>
  <c r="AB99"/>
  <c r="AB101"/>
  <c r="AB103"/>
  <c r="AB105"/>
  <c r="AB107"/>
  <c r="AB109"/>
  <c r="AB113"/>
  <c r="AB115"/>
  <c r="AB119"/>
  <c r="V9"/>
  <c r="V13"/>
  <c r="V17"/>
  <c r="V21"/>
  <c r="V29"/>
  <c r="V31"/>
  <c r="V33"/>
  <c r="V35"/>
  <c r="V45"/>
  <c r="V47"/>
  <c r="V51"/>
  <c r="V53"/>
  <c r="V55"/>
  <c r="V61"/>
  <c r="V65"/>
  <c r="V69"/>
  <c r="V71"/>
  <c r="V75"/>
  <c r="V79"/>
  <c r="V81"/>
  <c r="V85"/>
  <c r="V87"/>
  <c r="V91"/>
  <c r="V97"/>
  <c r="V111"/>
  <c r="V117"/>
  <c r="Y2" i="18"/>
  <c r="Z2" s="1"/>
  <c r="Y3"/>
  <c r="Z3" s="1"/>
  <c r="Y4"/>
  <c r="Z4" s="1"/>
  <c r="Y5"/>
  <c r="Z5" s="1"/>
  <c r="Y6"/>
  <c r="Z6" s="1"/>
  <c r="Y7"/>
  <c r="Z7" s="1"/>
  <c r="Y8"/>
  <c r="Z8" s="1"/>
  <c r="Y9"/>
  <c r="Z9" s="1"/>
  <c r="Y10"/>
  <c r="Z10" s="1"/>
  <c r="Y11"/>
  <c r="Z11" s="1"/>
  <c r="Y12"/>
  <c r="Z12" s="1"/>
  <c r="Y13"/>
  <c r="Z13" s="1"/>
  <c r="Y14"/>
  <c r="Z14" s="1"/>
  <c r="Y15"/>
  <c r="Z15" s="1"/>
  <c r="Y16"/>
  <c r="Z16" s="1"/>
  <c r="Y17"/>
  <c r="Z17" s="1"/>
  <c r="Y18"/>
  <c r="Z18" s="1"/>
  <c r="Y19"/>
  <c r="Z19" s="1"/>
  <c r="Y20"/>
  <c r="Z20" s="1"/>
  <c r="Y21"/>
  <c r="Z21" s="1"/>
  <c r="Y22"/>
  <c r="Z22" s="1"/>
  <c r="Y23"/>
  <c r="Z23" s="1"/>
  <c r="Y24"/>
  <c r="Z24" s="1"/>
  <c r="Y25"/>
  <c r="Z25" s="1"/>
  <c r="Y26"/>
  <c r="Z26" s="1"/>
  <c r="Y27"/>
  <c r="Z27" s="1"/>
  <c r="Y28"/>
  <c r="Z28" s="1"/>
  <c r="Y29"/>
  <c r="Z29" s="1"/>
  <c r="Y30"/>
  <c r="Z30" s="1"/>
  <c r="Y31"/>
  <c r="Z31" s="1"/>
  <c r="Y32"/>
  <c r="Z32" s="1"/>
  <c r="Y33"/>
  <c r="Z33" s="1"/>
  <c r="Y34"/>
  <c r="Z34" s="1"/>
  <c r="Y35"/>
  <c r="Z35" s="1"/>
  <c r="Y36"/>
  <c r="Z36" s="1"/>
  <c r="Y37"/>
  <c r="Z37" s="1"/>
  <c r="Y38"/>
  <c r="Z38" s="1"/>
  <c r="Y39"/>
  <c r="Z39" s="1"/>
  <c r="Y40"/>
  <c r="Z40" s="1"/>
  <c r="Y41"/>
  <c r="Z41" s="1"/>
  <c r="Y42"/>
  <c r="Z42" s="1"/>
  <c r="Y43"/>
  <c r="Z43" s="1"/>
  <c r="Y44"/>
  <c r="Z44" s="1"/>
  <c r="Y45"/>
  <c r="Z45" s="1"/>
  <c r="Y46"/>
  <c r="Z46" s="1"/>
  <c r="Y47"/>
  <c r="Z47" s="1"/>
  <c r="Y48"/>
  <c r="Z48" s="1"/>
  <c r="Y49"/>
  <c r="Z49" s="1"/>
  <c r="Y50"/>
  <c r="Z50" s="1"/>
  <c r="Y51"/>
  <c r="Z51" s="1"/>
  <c r="Y52"/>
  <c r="Z52" s="1"/>
  <c r="Y53"/>
  <c r="Z53" s="1"/>
  <c r="Y54"/>
  <c r="Z54" s="1"/>
  <c r="Y55"/>
  <c r="Z55" s="1"/>
  <c r="Y56"/>
  <c r="Z56" s="1"/>
  <c r="Y57"/>
  <c r="Z57" s="1"/>
  <c r="Y58"/>
  <c r="Z58" s="1"/>
  <c r="Y59"/>
  <c r="Z59" s="1"/>
  <c r="Y60"/>
  <c r="Z60" s="1"/>
  <c r="Y61"/>
  <c r="Z61" s="1"/>
  <c r="Y62"/>
  <c r="Z62" s="1"/>
  <c r="Y63"/>
  <c r="Z63" s="1"/>
  <c r="Y64"/>
  <c r="Z64" s="1"/>
  <c r="Y65"/>
  <c r="Z65" s="1"/>
  <c r="Y66"/>
  <c r="Z66" s="1"/>
  <c r="Y67"/>
  <c r="Z67" s="1"/>
  <c r="Y68"/>
  <c r="Z68" s="1"/>
  <c r="Y69"/>
  <c r="Z69" s="1"/>
  <c r="Y70"/>
  <c r="Z70" s="1"/>
  <c r="Y71"/>
  <c r="Z71" s="1"/>
  <c r="Y72"/>
  <c r="Z72" s="1"/>
  <c r="Y73"/>
  <c r="Z73" s="1"/>
  <c r="Y74"/>
  <c r="Z74" s="1"/>
  <c r="Y75"/>
  <c r="Z75" s="1"/>
  <c r="Y76"/>
  <c r="Z76" s="1"/>
  <c r="Y77"/>
  <c r="Z77" s="1"/>
  <c r="Y78"/>
  <c r="Z78" s="1"/>
  <c r="Y79"/>
  <c r="Z79" s="1"/>
  <c r="Y80"/>
  <c r="Z80" s="1"/>
  <c r="Y81"/>
  <c r="Z81" s="1"/>
  <c r="Y82"/>
  <c r="Z82" s="1"/>
  <c r="Y83"/>
  <c r="Z83" s="1"/>
  <c r="Y84"/>
  <c r="Z84" s="1"/>
  <c r="Y85"/>
  <c r="Z85" s="1"/>
  <c r="Y86"/>
  <c r="Z86" s="1"/>
  <c r="Y87"/>
  <c r="Z87" s="1"/>
  <c r="Y88"/>
  <c r="Z88" s="1"/>
  <c r="Y89"/>
  <c r="Z89" s="1"/>
  <c r="Y90"/>
  <c r="Z90" s="1"/>
  <c r="Y91"/>
  <c r="Z91" s="1"/>
  <c r="Y92"/>
  <c r="Z92" s="1"/>
  <c r="Y93"/>
  <c r="Z93" s="1"/>
  <c r="Y94"/>
  <c r="Z94" s="1"/>
  <c r="Y95"/>
  <c r="Z95" s="1"/>
  <c r="Y96"/>
  <c r="Z96" s="1"/>
  <c r="Y97"/>
  <c r="Z97" s="1"/>
  <c r="Y98"/>
  <c r="Z98" s="1"/>
  <c r="Y99"/>
  <c r="Z99" s="1"/>
  <c r="Y100"/>
  <c r="Z100" s="1"/>
  <c r="Y101"/>
  <c r="Z101" s="1"/>
  <c r="Y102"/>
  <c r="Z102" s="1"/>
  <c r="Y103"/>
  <c r="Z103" s="1"/>
  <c r="Y104"/>
  <c r="Z104" s="1"/>
  <c r="Y105"/>
  <c r="Z105" s="1"/>
  <c r="Y106"/>
  <c r="Z106" s="1"/>
  <c r="Y107"/>
  <c r="Z107" s="1"/>
  <c r="Y108"/>
  <c r="Z108" s="1"/>
  <c r="Y109"/>
  <c r="Z109" s="1"/>
  <c r="Y110"/>
  <c r="Z110" s="1"/>
  <c r="Y111"/>
  <c r="Z111" s="1"/>
  <c r="Y112"/>
  <c r="Z112" s="1"/>
  <c r="Y113"/>
  <c r="Z113" s="1"/>
  <c r="Y114"/>
  <c r="Z114" s="1"/>
  <c r="Y115"/>
  <c r="Z115" s="1"/>
  <c r="Y116"/>
  <c r="Z116" s="1"/>
  <c r="Y117"/>
  <c r="Z117" s="1"/>
  <c r="Y118"/>
  <c r="Z118" s="1"/>
  <c r="Y119"/>
  <c r="Z119" s="1"/>
  <c r="Y120"/>
  <c r="Z120" s="1"/>
  <c r="Y121"/>
  <c r="Z121" s="1"/>
  <c r="Y122"/>
  <c r="Z122" s="1"/>
  <c r="Y123"/>
  <c r="Z123" s="1"/>
  <c r="Y124"/>
  <c r="Z124" s="1"/>
  <c r="Y125"/>
  <c r="Z125" s="1"/>
  <c r="Y126"/>
  <c r="Z126" s="1"/>
  <c r="Y127"/>
  <c r="Z127" s="1"/>
  <c r="Y128"/>
  <c r="Z128" s="1"/>
  <c r="Y129"/>
  <c r="Z129" s="1"/>
  <c r="Y130"/>
  <c r="Z130" s="1"/>
  <c r="Y131"/>
  <c r="Z131" s="1"/>
  <c r="Y132"/>
  <c r="Z132" s="1"/>
  <c r="Y133"/>
  <c r="Z133" s="1"/>
  <c r="Y134"/>
  <c r="Z134" s="1"/>
  <c r="Y135"/>
  <c r="Z135" s="1"/>
  <c r="Y136"/>
  <c r="Z136" s="1"/>
  <c r="Y137"/>
  <c r="Z137" s="1"/>
  <c r="Y138"/>
  <c r="Z138" s="1"/>
  <c r="Y139"/>
  <c r="Z139" s="1"/>
  <c r="Y140"/>
  <c r="Z140" s="1"/>
  <c r="Y141"/>
  <c r="Z141" s="1"/>
  <c r="Y142"/>
  <c r="Z142" s="1"/>
  <c r="Y143"/>
  <c r="Z143" s="1"/>
  <c r="Y144"/>
  <c r="Z144" s="1"/>
  <c r="Y145"/>
  <c r="Z145" s="1"/>
  <c r="Y146"/>
  <c r="Z146" s="1"/>
  <c r="Y147"/>
  <c r="Z147" s="1"/>
  <c r="Y148"/>
  <c r="Z148" s="1"/>
  <c r="AB121" i="17"/>
  <c r="V122"/>
  <c r="AB123"/>
  <c r="V124"/>
  <c r="AB125"/>
  <c r="V126"/>
  <c r="AB127"/>
  <c r="V128"/>
  <c r="AB129"/>
  <c r="V130"/>
  <c r="AB131"/>
  <c r="V132"/>
  <c r="AB133"/>
  <c r="V134"/>
  <c r="AB135"/>
  <c r="V136"/>
  <c r="AB137"/>
  <c r="V138"/>
  <c r="AB139"/>
  <c r="V140"/>
  <c r="AB141"/>
  <c r="V142"/>
  <c r="AB143"/>
  <c r="V144"/>
  <c r="AB145"/>
  <c r="V146"/>
  <c r="AB147"/>
  <c r="V148"/>
  <c r="AB149"/>
  <c r="V150"/>
  <c r="AB151"/>
  <c r="V152"/>
  <c r="AB153"/>
  <c r="V154"/>
  <c r="W5" i="13"/>
  <c r="X5"/>
  <c r="W6"/>
  <c r="X6"/>
  <c r="W7"/>
  <c r="X7"/>
  <c r="W8"/>
  <c r="X8"/>
  <c r="W9"/>
  <c r="X9"/>
  <c r="W10"/>
  <c r="X10"/>
  <c r="W11"/>
  <c r="X11"/>
  <c r="W14"/>
  <c r="X14"/>
  <c r="W15"/>
  <c r="X15"/>
  <c r="W16"/>
  <c r="X16"/>
  <c r="W17"/>
  <c r="X17"/>
  <c r="W18"/>
  <c r="X18"/>
  <c r="W19"/>
  <c r="X19"/>
  <c r="W20"/>
  <c r="X20"/>
  <c r="W21"/>
  <c r="X21"/>
  <c r="X4"/>
  <c r="W4"/>
  <c r="U5"/>
  <c r="V5"/>
  <c r="U6"/>
  <c r="V6"/>
  <c r="U7"/>
  <c r="V7"/>
  <c r="U8"/>
  <c r="V8"/>
  <c r="U9"/>
  <c r="V9"/>
  <c r="U10"/>
  <c r="V10"/>
  <c r="U11"/>
  <c r="V11"/>
  <c r="U14"/>
  <c r="V14"/>
  <c r="U15"/>
  <c r="V15"/>
  <c r="U16"/>
  <c r="V16"/>
  <c r="U17"/>
  <c r="V17"/>
  <c r="U18"/>
  <c r="V18"/>
  <c r="U19"/>
  <c r="V19"/>
  <c r="U20"/>
  <c r="V20"/>
  <c r="U21"/>
  <c r="V21"/>
  <c r="U22"/>
  <c r="V22"/>
  <c r="V4"/>
  <c r="U4"/>
  <c r="B22"/>
  <c r="T22"/>
  <c r="P22"/>
  <c r="N22"/>
  <c r="L22"/>
  <c r="J22"/>
  <c r="H22"/>
  <c r="F22"/>
  <c r="D22"/>
  <c r="P21"/>
  <c r="N21"/>
  <c r="L21"/>
  <c r="Q21" s="1"/>
  <c r="J21"/>
  <c r="H21"/>
  <c r="F21"/>
  <c r="D21"/>
  <c r="R21" s="1"/>
  <c r="P20"/>
  <c r="N20"/>
  <c r="L20"/>
  <c r="J20"/>
  <c r="H20"/>
  <c r="F20"/>
  <c r="D20"/>
  <c r="P19"/>
  <c r="N19"/>
  <c r="L19"/>
  <c r="Q19" s="1"/>
  <c r="J19"/>
  <c r="H19"/>
  <c r="F19"/>
  <c r="D19"/>
  <c r="R19" s="1"/>
  <c r="P18"/>
  <c r="N18"/>
  <c r="L18"/>
  <c r="J18"/>
  <c r="H18"/>
  <c r="F18"/>
  <c r="D18"/>
  <c r="P17"/>
  <c r="N17"/>
  <c r="L17"/>
  <c r="Q17" s="1"/>
  <c r="J17"/>
  <c r="H17"/>
  <c r="F17"/>
  <c r="D17"/>
  <c r="R17" s="1"/>
  <c r="P16"/>
  <c r="N16"/>
  <c r="L16"/>
  <c r="J16"/>
  <c r="H16"/>
  <c r="F16"/>
  <c r="D16"/>
  <c r="P15"/>
  <c r="N15"/>
  <c r="L15"/>
  <c r="Q15" s="1"/>
  <c r="J15"/>
  <c r="H15"/>
  <c r="F15"/>
  <c r="D15"/>
  <c r="R15" s="1"/>
  <c r="P14"/>
  <c r="N14"/>
  <c r="L14"/>
  <c r="J14"/>
  <c r="H14"/>
  <c r="F14"/>
  <c r="D14"/>
  <c r="P11"/>
  <c r="N11"/>
  <c r="L11"/>
  <c r="Q11" s="1"/>
  <c r="J11"/>
  <c r="H11"/>
  <c r="F11"/>
  <c r="D11"/>
  <c r="R11" s="1"/>
  <c r="P10"/>
  <c r="N10"/>
  <c r="L10"/>
  <c r="J10"/>
  <c r="H10"/>
  <c r="F10"/>
  <c r="D10"/>
  <c r="P9"/>
  <c r="N9"/>
  <c r="L9"/>
  <c r="Q9" s="1"/>
  <c r="J9"/>
  <c r="H9"/>
  <c r="F9"/>
  <c r="D9"/>
  <c r="P8"/>
  <c r="N8"/>
  <c r="L8"/>
  <c r="J8"/>
  <c r="H8"/>
  <c r="F8"/>
  <c r="D8"/>
  <c r="P7"/>
  <c r="N7"/>
  <c r="L7"/>
  <c r="Q7" s="1"/>
  <c r="J7"/>
  <c r="H7"/>
  <c r="F7"/>
  <c r="D7"/>
  <c r="R7" s="1"/>
  <c r="P6"/>
  <c r="N6"/>
  <c r="L6"/>
  <c r="J6"/>
  <c r="H6"/>
  <c r="F6"/>
  <c r="D6"/>
  <c r="P5"/>
  <c r="N5"/>
  <c r="L5"/>
  <c r="Q5" s="1"/>
  <c r="J5"/>
  <c r="H5"/>
  <c r="F5"/>
  <c r="D5"/>
  <c r="R5" s="1"/>
  <c r="P4"/>
  <c r="N4"/>
  <c r="L4"/>
  <c r="J4"/>
  <c r="H4"/>
  <c r="F4"/>
  <c r="D4"/>
  <c r="B25" i="9"/>
  <c r="I4"/>
  <c r="I5"/>
  <c r="I6"/>
  <c r="I7"/>
  <c r="I8"/>
  <c r="I9"/>
  <c r="I10"/>
  <c r="I11"/>
  <c r="I12"/>
  <c r="I13"/>
  <c r="I14"/>
  <c r="I15"/>
  <c r="I16"/>
  <c r="I17"/>
  <c r="I18"/>
  <c r="I3"/>
  <c r="G4"/>
  <c r="G5"/>
  <c r="G6"/>
  <c r="G7"/>
  <c r="G8"/>
  <c r="G9"/>
  <c r="G10"/>
  <c r="G11"/>
  <c r="G12"/>
  <c r="G13"/>
  <c r="G14"/>
  <c r="G15"/>
  <c r="G16"/>
  <c r="G17"/>
  <c r="G18"/>
  <c r="G3"/>
  <c r="E4"/>
  <c r="E5"/>
  <c r="E6"/>
  <c r="E7"/>
  <c r="E8"/>
  <c r="E9"/>
  <c r="E10"/>
  <c r="E11"/>
  <c r="E12"/>
  <c r="E13"/>
  <c r="E14"/>
  <c r="E15"/>
  <c r="E16"/>
  <c r="E17"/>
  <c r="E18"/>
  <c r="E3"/>
  <c r="K18"/>
  <c r="L18" s="1"/>
  <c r="K17"/>
  <c r="L17" s="1"/>
  <c r="K16"/>
  <c r="L16" s="1"/>
  <c r="K15"/>
  <c r="L15" s="1"/>
  <c r="K14"/>
  <c r="L14" s="1"/>
  <c r="K13"/>
  <c r="L13" s="1"/>
  <c r="K12"/>
  <c r="L12" s="1"/>
  <c r="K11"/>
  <c r="L11" s="1"/>
  <c r="K10"/>
  <c r="L10" s="1"/>
  <c r="K9"/>
  <c r="L9" s="1"/>
  <c r="K8"/>
  <c r="L8" s="1"/>
  <c r="K7"/>
  <c r="L7" s="1"/>
  <c r="K6"/>
  <c r="L6" s="1"/>
  <c r="K5"/>
  <c r="L5" s="1"/>
  <c r="K4"/>
  <c r="L4" s="1"/>
  <c r="K3"/>
  <c r="L3" s="1"/>
  <c r="V22" i="2"/>
  <c r="R5"/>
  <c r="R6"/>
  <c r="R7"/>
  <c r="R8"/>
  <c r="R9"/>
  <c r="R10"/>
  <c r="R11"/>
  <c r="R14"/>
  <c r="R15"/>
  <c r="R16"/>
  <c r="R17"/>
  <c r="R18"/>
  <c r="R19"/>
  <c r="R20"/>
  <c r="R21"/>
  <c r="R4"/>
  <c r="Q5"/>
  <c r="Q6"/>
  <c r="Q7"/>
  <c r="Q8"/>
  <c r="Q9"/>
  <c r="Q10"/>
  <c r="Q11"/>
  <c r="Q14"/>
  <c r="Q15"/>
  <c r="Q16"/>
  <c r="Q17"/>
  <c r="Q18"/>
  <c r="Q19"/>
  <c r="Q20"/>
  <c r="Q21"/>
  <c r="Q22"/>
  <c r="Q4"/>
  <c r="P22"/>
  <c r="P21"/>
  <c r="P20"/>
  <c r="P19"/>
  <c r="P18"/>
  <c r="P17"/>
  <c r="P16"/>
  <c r="P15"/>
  <c r="P14"/>
  <c r="P11"/>
  <c r="P10"/>
  <c r="P9"/>
  <c r="P8"/>
  <c r="P7"/>
  <c r="P6"/>
  <c r="P5"/>
  <c r="P4"/>
  <c r="O22"/>
  <c r="O21"/>
  <c r="O20"/>
  <c r="O19"/>
  <c r="O18"/>
  <c r="O17"/>
  <c r="O16"/>
  <c r="O15"/>
  <c r="O14"/>
  <c r="O11"/>
  <c r="O10"/>
  <c r="O9"/>
  <c r="O8"/>
  <c r="O7"/>
  <c r="O6"/>
  <c r="O5"/>
  <c r="O4"/>
  <c r="M22"/>
  <c r="M21"/>
  <c r="M20"/>
  <c r="M19"/>
  <c r="M18"/>
  <c r="M17"/>
  <c r="M16"/>
  <c r="M15"/>
  <c r="M14"/>
  <c r="M11"/>
  <c r="M10"/>
  <c r="M9"/>
  <c r="M8"/>
  <c r="M7"/>
  <c r="M6"/>
  <c r="M5"/>
  <c r="M4"/>
  <c r="K22"/>
  <c r="K21"/>
  <c r="K20"/>
  <c r="K19"/>
  <c r="K18"/>
  <c r="K17"/>
  <c r="K16"/>
  <c r="K15"/>
  <c r="K14"/>
  <c r="K11"/>
  <c r="K10"/>
  <c r="K9"/>
  <c r="K8"/>
  <c r="K7"/>
  <c r="K6"/>
  <c r="K5"/>
  <c r="K4"/>
  <c r="I22"/>
  <c r="I21"/>
  <c r="I20"/>
  <c r="I19"/>
  <c r="I18"/>
  <c r="I17"/>
  <c r="I16"/>
  <c r="I15"/>
  <c r="I14"/>
  <c r="I11"/>
  <c r="I10"/>
  <c r="I9"/>
  <c r="I8"/>
  <c r="I7"/>
  <c r="I6"/>
  <c r="I5"/>
  <c r="I4"/>
  <c r="G22"/>
  <c r="G21"/>
  <c r="G20"/>
  <c r="G19"/>
  <c r="G18"/>
  <c r="G17"/>
  <c r="G16"/>
  <c r="G15"/>
  <c r="G14"/>
  <c r="G11"/>
  <c r="G10"/>
  <c r="G9"/>
  <c r="G8"/>
  <c r="G7"/>
  <c r="G6"/>
  <c r="G5"/>
  <c r="G4"/>
  <c r="E22"/>
  <c r="E21"/>
  <c r="E20"/>
  <c r="E19"/>
  <c r="E18"/>
  <c r="E17"/>
  <c r="E16"/>
  <c r="E15"/>
  <c r="E14"/>
  <c r="E11"/>
  <c r="E10"/>
  <c r="E9"/>
  <c r="E8"/>
  <c r="E7"/>
  <c r="E6"/>
  <c r="E5"/>
  <c r="E4"/>
  <c r="C5"/>
  <c r="C6"/>
  <c r="C7"/>
  <c r="C8"/>
  <c r="C9"/>
  <c r="C10"/>
  <c r="C11"/>
  <c r="C14"/>
  <c r="C15"/>
  <c r="C16"/>
  <c r="C17"/>
  <c r="C18"/>
  <c r="C19"/>
  <c r="C20"/>
  <c r="C21"/>
  <c r="C22"/>
  <c r="C4"/>
  <c r="R9" i="13" l="1"/>
  <c r="Q4"/>
  <c r="R4" s="1"/>
  <c r="Q6"/>
  <c r="R6" s="1"/>
  <c r="Q8"/>
  <c r="R8" s="1"/>
  <c r="Q10"/>
  <c r="R10" s="1"/>
  <c r="Q14"/>
  <c r="R14" s="1"/>
  <c r="Q16"/>
  <c r="R16" s="1"/>
  <c r="Q18"/>
  <c r="R18" s="1"/>
  <c r="Q20"/>
  <c r="R20" s="1"/>
  <c r="Q22"/>
  <c r="R22" s="1"/>
  <c r="B29" i="9"/>
  <c r="M6"/>
  <c r="M4"/>
  <c r="M3"/>
  <c r="S20" i="13" l="1"/>
  <c r="S4"/>
  <c r="S11"/>
  <c r="S5"/>
  <c r="S9"/>
  <c r="S15"/>
  <c r="S19"/>
  <c r="S7"/>
  <c r="S17"/>
  <c r="S21"/>
  <c r="S16"/>
  <c r="S10"/>
  <c r="S6"/>
  <c r="S18"/>
  <c r="S14"/>
  <c r="S8"/>
  <c r="M7" i="9"/>
  <c r="M15"/>
  <c r="M8"/>
  <c r="M11"/>
  <c r="M12"/>
  <c r="M10"/>
  <c r="M14"/>
  <c r="M18"/>
  <c r="M16"/>
  <c r="M17"/>
  <c r="M13"/>
  <c r="M9"/>
  <c r="M5"/>
</calcChain>
</file>

<file path=xl/sharedStrings.xml><?xml version="1.0" encoding="utf-8"?>
<sst xmlns="http://schemas.openxmlformats.org/spreadsheetml/2006/main" count="2241" uniqueCount="667">
  <si>
    <t>CROSS SECTORAL (NCDM)</t>
  </si>
  <si>
    <t>Displaced HH</t>
  </si>
  <si>
    <t>AGRICULTURE (MAFF 30th Nov) Damaged transplanted Rice (Ha)</t>
  </si>
  <si>
    <t>HEALTH  (MoH) Affected Heath Centres</t>
  </si>
  <si>
    <t>EDUCATION (MoEYS)</t>
  </si>
  <si>
    <t>Affected  Schools</t>
  </si>
  <si>
    <t>Furniture needs</t>
  </si>
  <si>
    <t>School pack needs</t>
  </si>
  <si>
    <t>Textbook needs</t>
  </si>
  <si>
    <t>Composite Education Indicator</t>
  </si>
  <si>
    <t>Province</t>
  </si>
  <si>
    <t>Number</t>
  </si>
  <si>
    <t>%</t>
  </si>
  <si>
    <t>Banteay Meanchey</t>
  </si>
  <si>
    <t xml:space="preserve"> - </t>
  </si>
  <si>
    <t>Battambang</t>
  </si>
  <si>
    <t>Kampong Cham</t>
  </si>
  <si>
    <t>Kampong Chhnang</t>
  </si>
  <si>
    <t>Kampong Thom</t>
  </si>
  <si>
    <t>Kampot</t>
  </si>
  <si>
    <t>Kandal</t>
  </si>
  <si>
    <t>Kratie</t>
  </si>
  <si>
    <t>Otdar Meanchey</t>
  </si>
  <si>
    <t>-</t>
  </si>
  <si>
    <t xml:space="preserve">Pailin </t>
  </si>
  <si>
    <t>Phnom Penh</t>
  </si>
  <si>
    <t>Preah Vihear</t>
  </si>
  <si>
    <t>Prey Veng</t>
  </si>
  <si>
    <t>Pursat</t>
  </si>
  <si>
    <t>Siem Riep</t>
  </si>
  <si>
    <t>NA</t>
  </si>
  <si>
    <t>Stung Treng</t>
  </si>
  <si>
    <t>Svay Rieng</t>
  </si>
  <si>
    <t>Takeo</t>
  </si>
  <si>
    <t>TOTAL</t>
  </si>
  <si>
    <t>Hhdisplaced</t>
  </si>
  <si>
    <t>ShareDisplaced</t>
  </si>
  <si>
    <t>RiceHHdamaged</t>
  </si>
  <si>
    <t>ShareRiceDamag</t>
  </si>
  <si>
    <t>HealthCentAff</t>
  </si>
  <si>
    <t>ShareHCAffect</t>
  </si>
  <si>
    <t>SchoolsAffect</t>
  </si>
  <si>
    <t>ShareSchoolsAff</t>
  </si>
  <si>
    <t>SchoolFurniture</t>
  </si>
  <si>
    <t>ShareSchoolFurn</t>
  </si>
  <si>
    <t>SchoolPacks</t>
  </si>
  <si>
    <t>ShareSchoolPacks</t>
  </si>
  <si>
    <t>SchoolTextbooks</t>
  </si>
  <si>
    <t>ShareSchoolTextB</t>
  </si>
  <si>
    <t>ShareEducDamage</t>
  </si>
  <si>
    <t>Set to missing (most were missing)</t>
  </si>
  <si>
    <t>N/A or - replaced with zero</t>
  </si>
  <si>
    <t>OrigSort</t>
  </si>
  <si>
    <t>Include</t>
  </si>
  <si>
    <t>OrigNumbering</t>
  </si>
  <si>
    <t>Provinces</t>
  </si>
  <si>
    <t>Population</t>
  </si>
  <si>
    <t>NCDM_displ</t>
  </si>
  <si>
    <t>PCallDisplaced</t>
  </si>
  <si>
    <t>RatioDisplToPop</t>
  </si>
  <si>
    <t>RankPopBased</t>
  </si>
  <si>
    <t>RankPcBased</t>
  </si>
  <si>
    <t>Composite measure</t>
  </si>
  <si>
    <t>RankComposite</t>
  </si>
  <si>
    <t>CompositeMeasure</t>
  </si>
  <si>
    <t> Province</t>
  </si>
  <si>
    <t>Affected households (NCDM)</t>
  </si>
  <si>
    <t>Rank (average of 4 indicators)*</t>
  </si>
  <si>
    <t>This table from page 26 of the report</t>
  </si>
  <si>
    <t>Page 21 of the report</t>
  </si>
  <si>
    <t>Hhaffected</t>
  </si>
  <si>
    <t>CompMeasPage26</t>
  </si>
  <si>
    <t>Original sort order</t>
  </si>
  <si>
    <t>Original sort order in earlier UNOCHA table</t>
  </si>
  <si>
    <t>Households affected (NCDM estimate)</t>
  </si>
  <si>
    <t>Displaced households (NCDM estimate)</t>
  </si>
  <si>
    <t>Fraction of all displaced HH</t>
  </si>
  <si>
    <t>Ratio displaced HH to population</t>
  </si>
  <si>
    <t>Rank, based on population, lowest = 1</t>
  </si>
  <si>
    <t>Rank, based on fractions, lowest = 1</t>
  </si>
  <si>
    <t>Displaced households (assumes Siem Riep = 0)</t>
  </si>
  <si>
    <t>Fraction of all displaced HH (includes Siem Riep with 0)</t>
  </si>
  <si>
    <t>Rice damaged (ha) (MAFF estimate)</t>
  </si>
  <si>
    <t>Fraction of all rice damaged</t>
  </si>
  <si>
    <t>Health Centers affected (MoH estimate)</t>
  </si>
  <si>
    <t>Fraction of all health centers affected</t>
  </si>
  <si>
    <t>Schools affected (MoEYS estimate)</t>
  </si>
  <si>
    <t>Fraction of all schools affected</t>
  </si>
  <si>
    <t>Schools needing furniture</t>
  </si>
  <si>
    <t>Share of schools needing furniture</t>
  </si>
  <si>
    <t>School packs needed</t>
  </si>
  <si>
    <t>Share of all school packs needed</t>
  </si>
  <si>
    <t>School textbooks needed</t>
  </si>
  <si>
    <t>Share of all textbooks needed</t>
  </si>
  <si>
    <t>Index of school needs</t>
  </si>
  <si>
    <t>Impact index</t>
  </si>
  <si>
    <t>Impact index (version page 26 UNOCHA report)</t>
  </si>
  <si>
    <t>ColNo</t>
  </si>
  <si>
    <t>VarName</t>
  </si>
  <si>
    <t>VarLabel</t>
  </si>
  <si>
    <t>Comment</t>
  </si>
  <si>
    <t>Recalculated by AB</t>
  </si>
  <si>
    <t>Source</t>
  </si>
  <si>
    <t>From Web source</t>
  </si>
  <si>
    <t>Possibly 2001</t>
  </si>
  <si>
    <t>When provinces sorted alphabetically</t>
  </si>
  <si>
    <t>Sort order in an earlier UNOCHA document</t>
  </si>
  <si>
    <t>Average of cols 21, 23, 25</t>
  </si>
  <si>
    <t>Calculated</t>
  </si>
  <si>
    <t>UNOCHA report page 26</t>
  </si>
  <si>
    <t>Earlier UNOCHA report</t>
  </si>
  <si>
    <t>UNOCHA report page 21</t>
  </si>
  <si>
    <t>UNOCHA report page 21 (same as col 7, except interpreting Siem Rep entry as 0)</t>
  </si>
  <si>
    <t>Average of cols 14, 16, 18 and 27</t>
  </si>
  <si>
    <t>Table of Contents</t>
  </si>
  <si>
    <t>School needs indic orig.</t>
  </si>
  <si>
    <t>School needs indic reweighted</t>
  </si>
  <si>
    <t>SchoolNeedWeight</t>
  </si>
  <si>
    <t>Weight of the education needs indicator</t>
  </si>
  <si>
    <t>DisplacementWeight</t>
  </si>
  <si>
    <t>CropDamageWeight</t>
  </si>
  <si>
    <t>HealthCenterWeight</t>
  </si>
  <si>
    <t>Weights</t>
  </si>
  <si>
    <t>ShareDisplaced orig.</t>
  </si>
  <si>
    <t>ShareDisplaced reweighted</t>
  </si>
  <si>
    <t>ShareRiceDamag orig.</t>
  </si>
  <si>
    <t>ShareRiceDamag reweighted</t>
  </si>
  <si>
    <t>ShareHCAffect orig</t>
  </si>
  <si>
    <t>ShareHCAffect reweighted</t>
  </si>
  <si>
    <t>Sum of weights</t>
  </si>
  <si>
    <t>Indicators, original and reweighted, composite measure, rank of provinces on composite measure (1 = lowest)</t>
  </si>
  <si>
    <t>Table formula</t>
  </si>
  <si>
    <t>Robustness of province rankings when weight of ONE indicator is varied (the weights for the others are held constant)</t>
  </si>
  <si>
    <t>Select this area in order to enter table formulas</t>
  </si>
  <si>
    <t>via the menu: Data - Data Tools - What-If Analysis - Data Table</t>
  </si>
  <si>
    <t>The Excel terminology for Data Table input is counterintuitive.</t>
  </si>
  <si>
    <t>column-input cell refers to the parameter that varies by row.</t>
  </si>
  <si>
    <t>Row-input cell refers to the parameter that varies by column,</t>
  </si>
  <si>
    <t>Excel creates the absolute cell references automatically.</t>
  </si>
  <si>
    <t>When you wish to simulate robustness to weight changes for a different indicator,</t>
  </si>
  <si>
    <t>you need to replace the row input cell accordingly.</t>
  </si>
  <si>
    <t>Here, in this example, we use the school need weight from row 24.</t>
  </si>
  <si>
    <t>Hints for working with the Table function:</t>
  </si>
  <si>
    <t>Position in lookup range</t>
  </si>
  <si>
    <t>[keep if initial sort order to be re-created]</t>
  </si>
  <si>
    <t>Working copy - sorted descendingly on initial weight = 1</t>
  </si>
  <si>
    <t>A</t>
  </si>
  <si>
    <t>B</t>
  </si>
  <si>
    <t>C</t>
  </si>
  <si>
    <t>Sum</t>
  </si>
  <si>
    <t>Rank (UNOCHA-calcul.)</t>
  </si>
  <si>
    <t>Partial composites</t>
  </si>
  <si>
    <t>Household impact</t>
  </si>
  <si>
    <t>Service disruption</t>
  </si>
  <si>
    <t>Categories</t>
  </si>
  <si>
    <t>High HH impact</t>
  </si>
  <si>
    <t>High service disruption</t>
  </si>
  <si>
    <t>HHimpactLine</t>
  </si>
  <si>
    <t>ServiceDisruptLine</t>
  </si>
  <si>
    <t>Grand Total</t>
  </si>
  <si>
    <t>Count of Province</t>
  </si>
  <si>
    <t>Values</t>
  </si>
  <si>
    <t>Sum of Affected households (NCDM)</t>
  </si>
  <si>
    <t>High</t>
  </si>
  <si>
    <t>Low</t>
  </si>
  <si>
    <t>Affected households</t>
  </si>
  <si>
    <t>Total</t>
  </si>
  <si>
    <t>Impact type</t>
  </si>
  <si>
    <t>I.</t>
  </si>
  <si>
    <t>II.</t>
  </si>
  <si>
    <t>III.</t>
  </si>
  <si>
    <t>IV.</t>
  </si>
  <si>
    <t>Strict lexicographic order</t>
  </si>
  <si>
    <t>ShareDisplaced (adjusted if diff. =&lt; 20%)</t>
  </si>
  <si>
    <t>ShareRiceDamag (adjusted if diff. =&lt; 20%)</t>
  </si>
  <si>
    <t>ShareHCAffect (adjusted if diff. =&lt; 20%)</t>
  </si>
  <si>
    <t>School needs indic (adjusted if diff. =&lt; 20%)</t>
  </si>
  <si>
    <t>Displace</t>
  </si>
  <si>
    <t>Lexicographic semi-order</t>
  </si>
  <si>
    <t>Rank of the UNOCHA composite</t>
  </si>
  <si>
    <t>Indicators and adjusted indicators</t>
  </si>
  <si>
    <t>Ranking schemes</t>
  </si>
  <si>
    <t>Default (all unit weights</t>
  </si>
  <si>
    <t>Lowest rank</t>
  </si>
  <si>
    <t>Highest rank</t>
  </si>
  <si>
    <t>High-low-close chart for rank variability</t>
  </si>
  <si>
    <t>Appears defective (sums to more than 100%)</t>
  </si>
  <si>
    <t>These values are set close to the dashed lines in this chart, i.e. 0.1. By setting different values, the categorizations in columns 23 and24 will automatically update.</t>
  </si>
  <si>
    <t>The categories are then used in the Pivot table in sheet C_SubindicesSummary.</t>
  </si>
  <si>
    <t>=RANK( RC[-1], RatioDisplToPop,1)</t>
  </si>
  <si>
    <t>=RANK( RC[-3], PCallDisplaced,1)</t>
  </si>
  <si>
    <t>Rank, by composite measure, lowest=1</t>
  </si>
  <si>
    <t>First step</t>
  </si>
  <si>
    <t>Sort table on first indicator (= ShareDisplaced orig.), ascendingly</t>
  </si>
  <si>
    <t>Formulas in R6C5:R21C5 :</t>
  </si>
  <si>
    <t>=VLOOKUP(1.2 * RC[-1],Displace,1,TRUE)</t>
  </si>
  <si>
    <t>Calculate upgraded values in next column (here column 5), using =VLOOKUP(1.2 * RC[-1],Displace,1,TRUE)</t>
  </si>
  <si>
    <t>[Optional:] Mark upgraded values with conditional formatting (here with red cell borders)</t>
  </si>
  <si>
    <t>The upgrade factor 1.2 assumes that</t>
  </si>
  <si>
    <t>values are to be adjusted upward</t>
  </si>
  <si>
    <t>to the highest within the 20 percent interval</t>
  </si>
  <si>
    <t>if any other province is found in that range.</t>
  </si>
  <si>
    <t>Second step</t>
  </si>
  <si>
    <t>Replace formulas in adjusted first indicator with their values (so that the values are preserved when the table is re-sorted)</t>
  </si>
  <si>
    <t>Sort table on the second indicator (= ShareRiceDamag orig.), ascendingly</t>
  </si>
  <si>
    <t>=VLOOKUP(1.2 * RC[-1],Crops2,1,TRUE)</t>
  </si>
  <si>
    <t>Calculate upgraded values in next column (here column 7), using =VLOOKUP(1.2 * RC[-1],Crops2,1,TRUE)</t>
  </si>
  <si>
    <t>Note:</t>
  </si>
  <si>
    <t>The range R34C6:R49C6 was named "Crops2"</t>
  </si>
  <si>
    <t>in this table (instead of simply "Crops")</t>
  </si>
  <si>
    <t>to avoid referencing back to R8C6:R23,</t>
  </si>
  <si>
    <t>which is not in the correct sort order for</t>
  </si>
  <si>
    <t>this demonstrated step here.</t>
  </si>
  <si>
    <t>one will do all the operations in one table.</t>
  </si>
  <si>
    <t>This is for purely didactic reasons. In "real work",</t>
  </si>
  <si>
    <t>Third and fourth steps</t>
  </si>
  <si>
    <t>Continue analogously with the third and fourth indicators</t>
  </si>
  <si>
    <t>Fifth and sixth steps</t>
  </si>
  <si>
    <t>Rank (1=lowest)</t>
  </si>
  <si>
    <t>Custom-sort the entire table on the adjusted indicators, first by ShareDisplaced adj, then by ShareRiceDamag adj., etc.</t>
  </si>
  <si>
    <t>Define the resulting sort order as the lexicographic semiorder (column 12)</t>
  </si>
  <si>
    <t>(Optional:) Mark in column 4 values whose original rank deviates from the the LS-order</t>
  </si>
  <si>
    <t>Use the LS-order ranks as a proxy composite measure</t>
  </si>
  <si>
    <r>
      <rPr>
        <b/>
        <sz val="18"/>
        <color rgb="FF0E6CB6"/>
        <rFont val="Arial"/>
        <family val="2"/>
      </rPr>
      <t>2012</t>
    </r>
    <r>
      <rPr>
        <b/>
        <sz val="18"/>
        <rFont val="Arial"/>
        <family val="2"/>
      </rPr>
      <t xml:space="preserve"> Global Focus Model</t>
    </r>
  </si>
  <si>
    <t>HC Designated</t>
  </si>
  <si>
    <t>OCHA Presence</t>
  </si>
  <si>
    <t>OCHA Region</t>
  </si>
  <si>
    <t>Natural</t>
  </si>
  <si>
    <t>Human</t>
  </si>
  <si>
    <t>Poverty</t>
  </si>
  <si>
    <t>Livelihood</t>
  </si>
  <si>
    <t>Dependency</t>
  </si>
  <si>
    <t>Environment</t>
  </si>
  <si>
    <t>Institutional</t>
  </si>
  <si>
    <t>Economic</t>
  </si>
  <si>
    <t>Infrastructure</t>
  </si>
  <si>
    <t>Risk</t>
  </si>
  <si>
    <t>Humanitarian</t>
  </si>
  <si>
    <t>Modifier</t>
  </si>
  <si>
    <t>Focus</t>
  </si>
  <si>
    <t>COUNTRY INFORMATION</t>
  </si>
  <si>
    <t>HAZARD</t>
  </si>
  <si>
    <t>VULNERABILITY</t>
  </si>
  <si>
    <t>CAPACITY</t>
  </si>
  <si>
    <t>Congo, DR</t>
  </si>
  <si>
    <t>HC</t>
  </si>
  <si>
    <t>CO</t>
  </si>
  <si>
    <t>ROSA</t>
  </si>
  <si>
    <t>Sudan</t>
  </si>
  <si>
    <t>ROWCA</t>
  </si>
  <si>
    <t>Afghanistan</t>
  </si>
  <si>
    <t>ROMENACA</t>
  </si>
  <si>
    <t>Chad</t>
  </si>
  <si>
    <t>Somalia</t>
  </si>
  <si>
    <t>OEA</t>
  </si>
  <si>
    <t>Myanmar</t>
  </si>
  <si>
    <t>ROAP</t>
  </si>
  <si>
    <t>Ethiopia</t>
  </si>
  <si>
    <t>Pakistan</t>
  </si>
  <si>
    <t>Central African Republic</t>
  </si>
  <si>
    <t>Yemen</t>
  </si>
  <si>
    <t>Côte d'Ivoire</t>
  </si>
  <si>
    <t>Kenya</t>
  </si>
  <si>
    <t>RO</t>
  </si>
  <si>
    <t>Nepal</t>
  </si>
  <si>
    <t>HSU</t>
  </si>
  <si>
    <t>Zimbabwe</t>
  </si>
  <si>
    <t>Haiti</t>
  </si>
  <si>
    <t>ROLAC</t>
  </si>
  <si>
    <t>Iraq</t>
  </si>
  <si>
    <t>Uganda</t>
  </si>
  <si>
    <t>Guinea</t>
  </si>
  <si>
    <t>Burundi</t>
  </si>
  <si>
    <t>Niger</t>
  </si>
  <si>
    <t>Philippines</t>
  </si>
  <si>
    <t>Bangladesh</t>
  </si>
  <si>
    <t>Nigeria</t>
  </si>
  <si>
    <t>Eritrea</t>
  </si>
  <si>
    <t>Liberia</t>
  </si>
  <si>
    <t>Mozambique</t>
  </si>
  <si>
    <t>Madagascar</t>
  </si>
  <si>
    <t>Angola</t>
  </si>
  <si>
    <t>Guinea-Bissau</t>
  </si>
  <si>
    <t>India</t>
  </si>
  <si>
    <t>Cameroon</t>
  </si>
  <si>
    <t>Tajikistan</t>
  </si>
  <si>
    <t>Tanzania</t>
  </si>
  <si>
    <t>Papua New Guinea</t>
  </si>
  <si>
    <t>Rwanda</t>
  </si>
  <si>
    <t>Guatemala</t>
  </si>
  <si>
    <t>Indonesia</t>
  </si>
  <si>
    <t>Congo, Republic of</t>
  </si>
  <si>
    <t>Colombia</t>
  </si>
  <si>
    <t>Burkina Faso</t>
  </si>
  <si>
    <t>Iran</t>
  </si>
  <si>
    <t>Lao PDR</t>
  </si>
  <si>
    <t>Mali</t>
  </si>
  <si>
    <t>Timor-Leste</t>
  </si>
  <si>
    <t>Korea, DPR</t>
  </si>
  <si>
    <t>Sierra Leone</t>
  </si>
  <si>
    <t>Benin</t>
  </si>
  <si>
    <t>Senegal</t>
  </si>
  <si>
    <t>Mauritania</t>
  </si>
  <si>
    <t>Syrian Arab Republic</t>
  </si>
  <si>
    <t>Sri Lanka</t>
  </si>
  <si>
    <t>Honduras</t>
  </si>
  <si>
    <t>occupied Palestinian territory</t>
  </si>
  <si>
    <t>Cambodia</t>
  </si>
  <si>
    <t>Togo</t>
  </si>
  <si>
    <t>Dominican Republic</t>
  </si>
  <si>
    <t>Algeria</t>
  </si>
  <si>
    <t>Kyrgyzstan</t>
  </si>
  <si>
    <t>Zambia</t>
  </si>
  <si>
    <t>Malawi</t>
  </si>
  <si>
    <t>Gambia</t>
  </si>
  <si>
    <t>Thailand</t>
  </si>
  <si>
    <t>Nicaragua</t>
  </si>
  <si>
    <t>Georgia</t>
  </si>
  <si>
    <t>China</t>
  </si>
  <si>
    <t>Uzbekistan</t>
  </si>
  <si>
    <t>Djibouti</t>
  </si>
  <si>
    <t>Equatorial Guinea</t>
  </si>
  <si>
    <t>Comoros</t>
  </si>
  <si>
    <t>Peru</t>
  </si>
  <si>
    <t>Azerbaijan</t>
  </si>
  <si>
    <t>Ghana</t>
  </si>
  <si>
    <t>Bolivia</t>
  </si>
  <si>
    <t>Ecuador</t>
  </si>
  <si>
    <t>Bhutan</t>
  </si>
  <si>
    <t>Turkey</t>
  </si>
  <si>
    <t>Lesotho</t>
  </si>
  <si>
    <t>Mexico</t>
  </si>
  <si>
    <t>Solomon Islands</t>
  </si>
  <si>
    <t>Egypt</t>
  </si>
  <si>
    <t>Libya</t>
  </si>
  <si>
    <t>Viet Nam</t>
  </si>
  <si>
    <t>Swaziland</t>
  </si>
  <si>
    <t>Namibia</t>
  </si>
  <si>
    <t>Turkmenistan</t>
  </si>
  <si>
    <t>El Salvador</t>
  </si>
  <si>
    <t>Armenia</t>
  </si>
  <si>
    <t>Lebanon</t>
  </si>
  <si>
    <t>Gabon</t>
  </si>
  <si>
    <t>Fiji</t>
  </si>
  <si>
    <t>SRO</t>
  </si>
  <si>
    <t>Kazakhstan</t>
  </si>
  <si>
    <t>Venezuela</t>
  </si>
  <si>
    <t>Mongolia</t>
  </si>
  <si>
    <t>Morocco</t>
  </si>
  <si>
    <t>South Africa</t>
  </si>
  <si>
    <t>Vanuatu</t>
  </si>
  <si>
    <t>Paraguay</t>
  </si>
  <si>
    <t>Jamaica</t>
  </si>
  <si>
    <t>Botswana</t>
  </si>
  <si>
    <t>Tunisia</t>
  </si>
  <si>
    <t>Jordan</t>
  </si>
  <si>
    <t>Cuba</t>
  </si>
  <si>
    <t>Chile</t>
  </si>
  <si>
    <t>Guyana</t>
  </si>
  <si>
    <t>Micronesia, FSO</t>
  </si>
  <si>
    <t>Panama</t>
  </si>
  <si>
    <t>Marshall Islands</t>
  </si>
  <si>
    <t>Tuvalu</t>
  </si>
  <si>
    <t>Malaysia</t>
  </si>
  <si>
    <t>Tonga</t>
  </si>
  <si>
    <t>Sao Tome and Principe</t>
  </si>
  <si>
    <t>Costa Rica</t>
  </si>
  <si>
    <t>Brazil</t>
  </si>
  <si>
    <t>Belize</t>
  </si>
  <si>
    <t>Samoa</t>
  </si>
  <si>
    <t>Nauru</t>
  </si>
  <si>
    <t>Saudi Arabia</t>
  </si>
  <si>
    <t>Cape Verde</t>
  </si>
  <si>
    <t>Kiribati</t>
  </si>
  <si>
    <t>Maldives</t>
  </si>
  <si>
    <t>Suriname</t>
  </si>
  <si>
    <t>Argentina</t>
  </si>
  <si>
    <t>Oman</t>
  </si>
  <si>
    <t>Trinidad and Tobago</t>
  </si>
  <si>
    <t>Grenada</t>
  </si>
  <si>
    <t>Antigua and Barbuda</t>
  </si>
  <si>
    <t>Japan</t>
  </si>
  <si>
    <t>Palau</t>
  </si>
  <si>
    <t>Dominica</t>
  </si>
  <si>
    <t>Israel</t>
  </si>
  <si>
    <t>Saint Kitts and Nevis</t>
  </si>
  <si>
    <t>Saint Lucia</t>
  </si>
  <si>
    <t>Mauritius</t>
  </si>
  <si>
    <t>Saint Vincent &amp; Grenadines</t>
  </si>
  <si>
    <t>Bahrain</t>
  </si>
  <si>
    <t>Seychelles</t>
  </si>
  <si>
    <t>New Zealand</t>
  </si>
  <si>
    <t>Uruguay</t>
  </si>
  <si>
    <t>United Arab Emirates</t>
  </si>
  <si>
    <t>Bahamas</t>
  </si>
  <si>
    <t>Kuwait</t>
  </si>
  <si>
    <t>Korea, Republic of</t>
  </si>
  <si>
    <t>Brunei Darussalam</t>
  </si>
  <si>
    <t>Barbados</t>
  </si>
  <si>
    <t>Australia</t>
  </si>
  <si>
    <t>Qatar</t>
  </si>
  <si>
    <t>Singapore</t>
  </si>
  <si>
    <t>v1, 27 December 2011</t>
  </si>
  <si>
    <t>www.maplecroft.com</t>
  </si>
  <si>
    <t>Country Office (CO)</t>
  </si>
  <si>
    <t>Developed by the OCHA Regional Office for Asia and the Pacific (ROAP). Risk indexes managed by Maplecroft. For information please contact Craig Williams (williamscv@un.org) or John Marinos (marinosj@un.org)</t>
  </si>
  <si>
    <t>Humanitarian Support Unit (HSU)</t>
  </si>
  <si>
    <t>Regional Office (RO)</t>
  </si>
  <si>
    <t>Sub-Regional Office (SRO)</t>
  </si>
  <si>
    <t>Country</t>
  </si>
  <si>
    <t>HC_Designated</t>
  </si>
  <si>
    <t>OCHA_Presence</t>
  </si>
  <si>
    <t>OCHA_Region</t>
  </si>
  <si>
    <t>Hazard</t>
  </si>
  <si>
    <t>Vulnerability</t>
  </si>
  <si>
    <t>Capacity</t>
  </si>
  <si>
    <t>UnknownVar</t>
  </si>
  <si>
    <t>Risk (altnative aggregation)</t>
  </si>
  <si>
    <t>RiskRank</t>
  </si>
  <si>
    <t>RiskAltRank</t>
  </si>
  <si>
    <t>RankDiff</t>
  </si>
  <si>
    <t>RDiffAbs</t>
  </si>
  <si>
    <t>Congo DR</t>
  </si>
  <si>
    <t>Congo Republic of</t>
  </si>
  <si>
    <t>Korea DPR</t>
  </si>
  <si>
    <t>Micronesia FSO</t>
  </si>
  <si>
    <t>Saint Vincent and Grenadines</t>
  </si>
  <si>
    <t>Korea Republic of</t>
  </si>
  <si>
    <t>Natural hazard</t>
  </si>
  <si>
    <t>Human Hazard</t>
  </si>
  <si>
    <t>Hazard subindex</t>
  </si>
  <si>
    <t>Vulnerability subindex</t>
  </si>
  <si>
    <t>Institutional capacity</t>
  </si>
  <si>
    <t>Economic capacity</t>
  </si>
  <si>
    <t>Infrastructural capacity</t>
  </si>
  <si>
    <t>Capacity subindex</t>
  </si>
  <si>
    <t>Composite risk measure</t>
  </si>
  <si>
    <t>UNOCHA Region</t>
  </si>
  <si>
    <t>Not used for composite measure note</t>
  </si>
  <si>
    <t>Not defined, not used for composite measure note</t>
  </si>
  <si>
    <t>See formulas used in columns 22-26.</t>
  </si>
  <si>
    <t>Name</t>
  </si>
  <si>
    <t>RefersToLocal</t>
  </si>
  <si>
    <t>Visible</t>
  </si>
  <si>
    <t>Local name</t>
  </si>
  <si>
    <t>Cells</t>
  </si>
  <si>
    <t>GFM_OriginalTable!_FilterDatabase</t>
  </si>
  <si>
    <t>=GFM_OriginalTable!R7C2:R154C28</t>
  </si>
  <si>
    <t>=GFM_AggregAlternat!R2C16:R148C16</t>
  </si>
  <si>
    <t>C_SubindicesData!Composite</t>
  </si>
  <si>
    <t>=C_SubindicesData!R4C18:R21C18</t>
  </si>
  <si>
    <t>Composite</t>
  </si>
  <si>
    <t>=C_WorkingCopy!R4C17:R21C17</t>
  </si>
  <si>
    <t>C_WeightExperim!Composite2</t>
  </si>
  <si>
    <t>=C_WeightExperim!R3C12:R18C12</t>
  </si>
  <si>
    <t>=GFM_AggregAlternat!R2C1:R148C1</t>
  </si>
  <si>
    <t>=C_WeightExperim!R22C2</t>
  </si>
  <si>
    <t>C_LSmethodProcess!Crops</t>
  </si>
  <si>
    <t>=C_LSmethodProcess!R8C6:R23C6</t>
  </si>
  <si>
    <t>Crops</t>
  </si>
  <si>
    <t>=C_LSmethodCompare!R3C6:R18C6</t>
  </si>
  <si>
    <t>Crops2</t>
  </si>
  <si>
    <t>=C_LSmethodProcess!R34C6:R49C6</t>
  </si>
  <si>
    <t>Database</t>
  </si>
  <si>
    <t>=C_SubindicesData!R3C1:R21C24</t>
  </si>
  <si>
    <t>Dataset</t>
  </si>
  <si>
    <t>=GFM_OriginalTable!R8C2:R154C28</t>
  </si>
  <si>
    <t>=GFM_AggregAlternat!R2C10:R148C10</t>
  </si>
  <si>
    <t>C_LSmethodProcess!Displace</t>
  </si>
  <si>
    <t>=C_LSmethodProcess!R8C4:R23C4</t>
  </si>
  <si>
    <t>=C_LSmethodCompare!R3C4:R18C4</t>
  </si>
  <si>
    <t>=C_WeightExperim!R21C2</t>
  </si>
  <si>
    <t>=GFM_AggregAlternat!R2C14:R148C14</t>
  </si>
  <si>
    <t>=GFM_AggregAlternat!R2C11:R148C11</t>
  </si>
  <si>
    <t>=GFM_AggregAlternat!R2C21:R148C21</t>
  </si>
  <si>
    <t>GFM_OriginalTable!Focus_Data</t>
  </si>
  <si>
    <t>=GFM_OriginalTable!R8C2:R154C29</t>
  </si>
  <si>
    <t>=GFM_AggregAlternat!R2C7:R148C7</t>
  </si>
  <si>
    <t>=GFM_AggregAlternat!R2C2:R148C2</t>
  </si>
  <si>
    <t>C_LSmethodProcess!HealthCenters</t>
  </si>
  <si>
    <t>=C_LSmethodProcess!R8C8:R23C8</t>
  </si>
  <si>
    <t>HealthCenters</t>
  </si>
  <si>
    <t>=C_LSmethodCompare!R3C8:R18C8</t>
  </si>
  <si>
    <t>=C_WeightExperim!R23C2</t>
  </si>
  <si>
    <t>=C_SubindicesData!R28C3</t>
  </si>
  <si>
    <t>=GFM_AggregAlternat!R2C6:R148C6</t>
  </si>
  <si>
    <t>=GFM_AggregAlternat!R2C18:R148C18</t>
  </si>
  <si>
    <t>=GFM_AggregAlternat!R2C15:R148C15</t>
  </si>
  <si>
    <t>=GFM_AggregAlternat!R2C13:R148C13</t>
  </si>
  <si>
    <t>=GFM_AggregAlternat!R2C9:R148C9</t>
  </si>
  <si>
    <t>=GFM_AggregAlternat!R2C19:R148C19</t>
  </si>
  <si>
    <t>=GFM_AggregAlternat!R2C5:R148C5</t>
  </si>
  <si>
    <t>=GFM_AggregAlternat!R2C3:R148C3</t>
  </si>
  <si>
    <t>=GFM_AggregAlternat!R2C4:R148C4</t>
  </si>
  <si>
    <t>C_Data!PCallDisplaced</t>
  </si>
  <si>
    <t>=C_Data!R2C8:R19C8</t>
  </si>
  <si>
    <t>=GFM_AggregAlternat!R2C8:R148C8</t>
  </si>
  <si>
    <t>=GFM_AggregAlternat!R2C25:R148C25</t>
  </si>
  <si>
    <t>C_LSmethodCompare!Ranks2</t>
  </si>
  <si>
    <t>=C_LSmethodCompare!R3C12:R18C12</t>
  </si>
  <si>
    <t>C_WeightExperim!Ranks2</t>
  </si>
  <si>
    <t>=C_WeightExperim!R3C13:R18C13</t>
  </si>
  <si>
    <t>C_Data!RatioDisplToPop</t>
  </si>
  <si>
    <t>=C_Data!R2C9:R19C9</t>
  </si>
  <si>
    <t>=GFM_AggregAlternat!R2C26:R148C26</t>
  </si>
  <si>
    <t>=GFM_AggregAlternat!R2C17:R148C17</t>
  </si>
  <si>
    <t>RiskAggregAlt</t>
  </si>
  <si>
    <t>=GFM_AggregAlternat!R2C22:R148C22</t>
  </si>
  <si>
    <t>=GFM_AggregAlternat!R2C24:R148C24</t>
  </si>
  <si>
    <t>=GFM_AggregAlternat!R2C23:R148C23</t>
  </si>
  <si>
    <t>C_LSmethodProcess!SchoolNeeds</t>
  </si>
  <si>
    <t>=C_LSmethodProcess!R8C10:R23C10</t>
  </si>
  <si>
    <t>SchoolNeeds</t>
  </si>
  <si>
    <t>=C_LSmethodCompare!R3C10:R18C10</t>
  </si>
  <si>
    <t>C_WeightExperim!SchoolNeedWeight</t>
  </si>
  <si>
    <t>=C_WeightExperim!R24C2</t>
  </si>
  <si>
    <t>=C_SubindicesData!R29C3</t>
  </si>
  <si>
    <t>=GFM_AggregAlternat!R2C20:R148C20</t>
  </si>
  <si>
    <t>=GFM_AggregAlternat!R2C12:R148C12</t>
  </si>
  <si>
    <t>=C_WeightExperim!R21C2:R24C2</t>
  </si>
  <si>
    <t>GFM_OriginalTable</t>
  </si>
  <si>
    <t>GFM_Variables</t>
  </si>
  <si>
    <t>GFM_Data</t>
  </si>
  <si>
    <t>GFM_AggregAlternat</t>
  </si>
  <si>
    <t>C_OriginalTable</t>
  </si>
  <si>
    <t>C_WorkingCopy</t>
  </si>
  <si>
    <t>C_Variables</t>
  </si>
  <si>
    <t>C_Data</t>
  </si>
  <si>
    <t>C_WeightExperim</t>
  </si>
  <si>
    <t>C_WeightsFormatted</t>
  </si>
  <si>
    <t>C_SubindicesData</t>
  </si>
  <si>
    <t>C_SubindicesSummary</t>
  </si>
  <si>
    <t>C_LSmethodProcess</t>
  </si>
  <si>
    <t>C_LSmethodCompare</t>
  </si>
  <si>
    <t>ListOfNamedRanges</t>
  </si>
  <si>
    <t>Normalized indicator 1</t>
  </si>
  <si>
    <t>Weight 1</t>
  </si>
  <si>
    <t>Weighted indicator 1</t>
  </si>
  <si>
    <t>Indicator 1</t>
  </si>
  <si>
    <t>Indicator 2</t>
  </si>
  <si>
    <t>Normalized indicator 2</t>
  </si>
  <si>
    <t>Weight 2</t>
  </si>
  <si>
    <t>Weighted indicator 2</t>
  </si>
  <si>
    <t>Unit</t>
  </si>
  <si>
    <t>Normalization</t>
  </si>
  <si>
    <t>Aggregation</t>
  </si>
  <si>
    <t>Weighting</t>
  </si>
  <si>
    <t>Basic setup for a composite measure, using normalization by column sum, unequal weights, and simple additive aggregation</t>
  </si>
  <si>
    <t>Notes:</t>
  </si>
  <si>
    <t>1. See formulas in the cells</t>
  </si>
  <si>
    <t xml:space="preserve">2. By convention, weights should sum to 1, i.e. dividing by the sum of weights should happen before aggregation. </t>
  </si>
  <si>
    <t>With simple additive aggregation, however, it does not matter when the division takes place. Setting the weights as above is more intuitive.</t>
  </si>
  <si>
    <t>Weight table</t>
  </si>
  <si>
    <t>W1</t>
  </si>
  <si>
    <t>W2</t>
  </si>
  <si>
    <t>Same setup for the composite measure, using an external weights table and named ranges for the indicator column vectors and for theweights</t>
  </si>
  <si>
    <t>The formula used in R21C4:R23C4: =((RC[-2]/SUM(Indicator_1))*W1_ + (RC[-1]/SUM(Indicator_2))*W2_) / (W1_ + W2_)</t>
  </si>
  <si>
    <t>Simplified setup for the calculation of a composite measure</t>
  </si>
  <si>
    <t>Indicator_1</t>
  </si>
  <si>
    <t>=BasicSetup!R23C2:R25C2</t>
  </si>
  <si>
    <t>Indicator_2</t>
  </si>
  <si>
    <t>=BasicSetup!R23C3:R25C3</t>
  </si>
  <si>
    <t>W1_</t>
  </si>
  <si>
    <t>=BasicSetup!R28C2</t>
  </si>
  <si>
    <t>W2_</t>
  </si>
  <si>
    <t>=BasicSetup!R29C2</t>
  </si>
  <si>
    <t>BasicSetup</t>
  </si>
  <si>
    <t>Generalities</t>
  </si>
  <si>
    <t>Global Focus Model</t>
  </si>
  <si>
    <t>Cambodia floods</t>
  </si>
  <si>
    <t>Auxiliary table</t>
  </si>
  <si>
    <t>Basic operations in computing a composite measure</t>
  </si>
  <si>
    <t>Original data table</t>
  </si>
  <si>
    <t>Variables used</t>
  </si>
  <si>
    <t>Same data, formatted as normal Excel data table</t>
  </si>
  <si>
    <t>Variables of the normally formatted Excel table</t>
  </si>
  <si>
    <t>Convenience copy of the results formatted for the report</t>
  </si>
  <si>
    <t>Pivot table to summarize impact typology in table format</t>
  </si>
  <si>
    <t>Results of calculating ranks by the lexicographic semiorder method; comparison with other methods</t>
  </si>
  <si>
    <t>Convenience table of all named ranges used in this workbook</t>
  </si>
  <si>
    <t>ComMeas_Med</t>
  </si>
  <si>
    <t>=C_MissingImputed!R2C28:R17C28</t>
  </si>
  <si>
    <t>CropDam_Med</t>
  </si>
  <si>
    <t>=C_MissingImputed!R2C21:R17C21</t>
  </si>
  <si>
    <t>CropMiss</t>
  </si>
  <si>
    <t>=C_MissingImputed!R2C17:R17C17</t>
  </si>
  <si>
    <t>Displaced_Med</t>
  </si>
  <si>
    <t>=C_MissingImputed!R2C20:R17C20</t>
  </si>
  <si>
    <t>DisplacedMiss</t>
  </si>
  <si>
    <t>=C_MissingImputed!R2C16:R17C16</t>
  </si>
  <si>
    <t>HealthCenter_Med</t>
  </si>
  <si>
    <t>=C_MissingImputed!R2C22:R17C22</t>
  </si>
  <si>
    <t>HealthMiss</t>
  </si>
  <si>
    <t>=C_MissingImputed!R2C18:R17C18</t>
  </si>
  <si>
    <t>SchoolMiss</t>
  </si>
  <si>
    <t>=C_MissingImputed!R2C19:R17C19</t>
  </si>
  <si>
    <t>SchoolNeeds_Med</t>
  </si>
  <si>
    <t>=C_MissingImputed!R2C23:R17C23</t>
  </si>
  <si>
    <t>origsort</t>
  </si>
  <si>
    <t>include</t>
  </si>
  <si>
    <t>province</t>
  </si>
  <si>
    <t>population</t>
  </si>
  <si>
    <t>hhaffected</t>
  </si>
  <si>
    <t>hhdisplaced</t>
  </si>
  <si>
    <t>sharedisplaced</t>
  </si>
  <si>
    <t>ricehhdamaged</t>
  </si>
  <si>
    <t>sharericedamag</t>
  </si>
  <si>
    <t>healthcentaff</t>
  </si>
  <si>
    <t>sharehcaffect</t>
  </si>
  <si>
    <t>shareeducdamage</t>
  </si>
  <si>
    <t>compositemeasure</t>
  </si>
  <si>
    <t>rankcomposite</t>
  </si>
  <si>
    <t>compmeaspage26</t>
  </si>
  <si>
    <t>Displaced_MShare</t>
  </si>
  <si>
    <t>CropDam_MShare</t>
  </si>
  <si>
    <t>HealthCenter_MShare</t>
  </si>
  <si>
    <t>SchoolNeeds_MShare</t>
  </si>
  <si>
    <t>RankCompMeas_Med</t>
  </si>
  <si>
    <t>Excluded from analysis</t>
  </si>
  <si>
    <t>Pailin</t>
  </si>
  <si>
    <t>Missing imputed as zero (original formula)</t>
  </si>
  <si>
    <t>UNOCHA report score</t>
  </si>
  <si>
    <t>Original values showing missing</t>
  </si>
  <si>
    <t>Median-based imputation</t>
  </si>
  <si>
    <t>Formulas used (from row 2 only, for illustration)</t>
  </si>
  <si>
    <t>For illustration only</t>
  </si>
  <si>
    <t>Address</t>
  </si>
  <si>
    <t>Formula</t>
  </si>
  <si>
    <t>Value</t>
  </si>
  <si>
    <t>Median of missing-imputed indicators</t>
  </si>
  <si>
    <t>R2C20</t>
  </si>
  <si>
    <t xml:space="preserve"> =IF(ISBLANK(RC[-4])=TRUE,MEDIAN(DisplacedMiss),RC[-4])</t>
  </si>
  <si>
    <t>R2C21</t>
  </si>
  <si>
    <t xml:space="preserve"> =IF(ISBLANK(RC[-4])=TRUE,MEDIAN(CropMiss),RC[-4])</t>
  </si>
  <si>
    <t>R2C22</t>
  </si>
  <si>
    <t xml:space="preserve"> =IF(ISBLANK(RC[-4])=TRUE,MEDIAN(HealthMiss),RC[-4])</t>
  </si>
  <si>
    <t>R2C23</t>
  </si>
  <si>
    <t xml:space="preserve"> =IF(ISBLANK(RC[-4])=TRUE,MEDIAN(SchoolMiss),RC[-4])</t>
  </si>
  <si>
    <t>R2C24</t>
  </si>
  <si>
    <t xml:space="preserve"> =RC[-4] / SUM(R2C[-4]:R17C[-4])</t>
  </si>
  <si>
    <t>Note mixed references in denominator</t>
  </si>
  <si>
    <t>R2C25</t>
  </si>
  <si>
    <t>Instead four different names could have been used</t>
  </si>
  <si>
    <t>R2C26</t>
  </si>
  <si>
    <t>R2C27</t>
  </si>
  <si>
    <t>R2C28</t>
  </si>
  <si>
    <t xml:space="preserve"> =SUM(RC[-4]:RC[-1]) / 4</t>
  </si>
  <si>
    <t>R2C29</t>
  </si>
  <si>
    <t xml:space="preserve"> =RANK(RC[-1],R2C[-1]:R17C[-1],1)</t>
  </si>
  <si>
    <t>C_MissingImputed</t>
  </si>
  <si>
    <t>for the four formulas in C24 to C27, e.g.:</t>
  </si>
  <si>
    <t xml:space="preserve"> =RC[-4] / SUM(SchoolNeeds_Med)</t>
  </si>
  <si>
    <t>Imputation of missing</t>
  </si>
  <si>
    <t>Ranking</t>
  </si>
  <si>
    <t>Note mixed references in second argument</t>
  </si>
  <si>
    <t>seems to work just as well. But it does not</t>
  </si>
  <si>
    <t>Note the function ISBLANK. At first glance,</t>
  </si>
  <si>
    <t>distinguish between true zeros and missing.</t>
  </si>
  <si>
    <r>
      <t xml:space="preserve"> =IF(RC[-4]=0,MEDIAN(</t>
    </r>
    <r>
      <rPr>
        <i/>
        <sz val="11"/>
        <color theme="1"/>
        <rFont val="Calibri"/>
        <family val="2"/>
        <scheme val="minor"/>
      </rPr>
      <t>[Range name]</t>
    </r>
    <r>
      <rPr>
        <sz val="11"/>
        <color theme="1"/>
        <rFont val="Calibri"/>
        <family val="2"/>
        <scheme val="minor"/>
      </rPr>
      <t>),RC[-4])</t>
    </r>
  </si>
  <si>
    <t>Include in the analysis</t>
  </si>
  <si>
    <t>Two provinces are excluded</t>
  </si>
  <si>
    <t>Same data, with missing values imputed to zero plus some variables added from other tables</t>
  </si>
  <si>
    <t>Demonstration of a median-(instead of zero-)based imputation of missing values in the indicators</t>
  </si>
  <si>
    <t>Rank changes when alternative aggregation formula is used [see page 66 of the note]</t>
  </si>
  <si>
    <t>Demonstration of a weight-robustness test, using the TABLE function [see page 63 of the note]</t>
  </si>
  <si>
    <t>Formation of two subindices [see pages 7 and 34 of the note]</t>
  </si>
  <si>
    <t>Process of calculating ranks by the lexicographic semiorder method [see page 51 of the note]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</si>
</sst>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4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b/>
      <sz val="18"/>
      <color rgb="FF0E6CB6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10"/>
      <name val="Arial"/>
      <family val="2"/>
    </font>
    <font>
      <sz val="6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7"/>
      <color rgb="FF000000"/>
      <name val="Arial"/>
      <family val="2"/>
    </font>
    <font>
      <vertAlign val="superscript"/>
      <sz val="11"/>
      <name val="Arial"/>
      <family val="2"/>
    </font>
    <font>
      <b/>
      <i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026CB6"/>
        <bgColor indexed="64"/>
      </patternFill>
    </fill>
    <fill>
      <patternFill patternType="solid">
        <fgColor rgb="FFE3E7F5"/>
        <bgColor indexed="64"/>
      </patternFill>
    </fill>
    <fill>
      <patternFill patternType="solid">
        <fgColor rgb="FFCCD5E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E6CB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</fills>
  <borders count="58">
    <border>
      <left/>
      <right/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thick">
        <color rgb="FF00B050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9"/>
      </top>
      <bottom/>
      <diagonal/>
    </border>
  </borders>
  <cellStyleXfs count="4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9" fillId="0" borderId="0"/>
    <xf numFmtId="1" fontId="39" fillId="0" borderId="0" applyNumberFormat="0" applyFill="0" applyBorder="0" applyAlignment="0" applyProtection="0">
      <alignment horizontal="center" vertical="top"/>
    </xf>
  </cellStyleXfs>
  <cellXfs count="435">
    <xf numFmtId="0" fontId="0" fillId="0" borderId="0" xfId="0"/>
    <xf numFmtId="0" fontId="0" fillId="0" borderId="1" xfId="0" applyBorder="1"/>
    <xf numFmtId="0" fontId="0" fillId="0" borderId="3" xfId="0" applyBorder="1"/>
    <xf numFmtId="0" fontId="2" fillId="2" borderId="3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wrapText="1"/>
    </xf>
    <xf numFmtId="0" fontId="2" fillId="2" borderId="3" xfId="0" applyFont="1" applyFill="1" applyBorder="1" applyAlignment="1">
      <alignment horizontal="right" wrapText="1"/>
    </xf>
    <xf numFmtId="0" fontId="3" fillId="3" borderId="5" xfId="0" applyFont="1" applyFill="1" applyBorder="1"/>
    <xf numFmtId="3" fontId="4" fillId="3" borderId="3" xfId="0" applyNumberFormat="1" applyFont="1" applyFill="1" applyBorder="1" applyAlignment="1">
      <alignment horizontal="right"/>
    </xf>
    <xf numFmtId="9" fontId="0" fillId="0" borderId="0" xfId="0" applyNumberFormat="1"/>
    <xf numFmtId="9" fontId="4" fillId="3" borderId="3" xfId="0" applyNumberFormat="1" applyFont="1" applyFill="1" applyBorder="1" applyAlignment="1">
      <alignment horizontal="right"/>
    </xf>
    <xf numFmtId="3" fontId="3" fillId="3" borderId="3" xfId="0" applyNumberFormat="1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9" fontId="3" fillId="3" borderId="3" xfId="0" applyNumberFormat="1" applyFont="1" applyFill="1" applyBorder="1" applyAlignment="1">
      <alignment horizontal="right"/>
    </xf>
    <xf numFmtId="0" fontId="4" fillId="3" borderId="3" xfId="0" applyFont="1" applyFill="1" applyBorder="1" applyAlignment="1">
      <alignment horizontal="right"/>
    </xf>
    <xf numFmtId="0" fontId="3" fillId="4" borderId="5" xfId="0" applyFont="1" applyFill="1" applyBorder="1"/>
    <xf numFmtId="3" fontId="4" fillId="4" borderId="3" xfId="0" applyNumberFormat="1" applyFont="1" applyFill="1" applyBorder="1" applyAlignment="1">
      <alignment horizontal="right"/>
    </xf>
    <xf numFmtId="9" fontId="4" fillId="4" borderId="3" xfId="0" applyNumberFormat="1" applyFont="1" applyFill="1" applyBorder="1" applyAlignment="1">
      <alignment horizontal="right"/>
    </xf>
    <xf numFmtId="0" fontId="4" fillId="4" borderId="3" xfId="0" applyFont="1" applyFill="1" applyBorder="1" applyAlignment="1">
      <alignment horizontal="right"/>
    </xf>
    <xf numFmtId="0" fontId="3" fillId="4" borderId="3" xfId="0" applyFont="1" applyFill="1" applyBorder="1" applyAlignment="1">
      <alignment horizontal="right"/>
    </xf>
    <xf numFmtId="9" fontId="3" fillId="4" borderId="3" xfId="0" applyNumberFormat="1" applyFont="1" applyFill="1" applyBorder="1" applyAlignment="1">
      <alignment horizontal="right"/>
    </xf>
    <xf numFmtId="0" fontId="4" fillId="3" borderId="5" xfId="0" applyFont="1" applyFill="1" applyBorder="1"/>
    <xf numFmtId="3" fontId="3" fillId="4" borderId="3" xfId="0" applyNumberFormat="1" applyFont="1" applyFill="1" applyBorder="1" applyAlignment="1">
      <alignment horizontal="right"/>
    </xf>
    <xf numFmtId="0" fontId="4" fillId="4" borderId="5" xfId="0" applyFont="1" applyFill="1" applyBorder="1"/>
    <xf numFmtId="0" fontId="5" fillId="3" borderId="5" xfId="0" applyFont="1" applyFill="1" applyBorder="1"/>
    <xf numFmtId="3" fontId="5" fillId="3" borderId="3" xfId="0" applyNumberFormat="1" applyFont="1" applyFill="1" applyBorder="1" applyAlignment="1">
      <alignment horizontal="right"/>
    </xf>
    <xf numFmtId="9" fontId="5" fillId="3" borderId="3" xfId="0" applyNumberFormat="1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9" fontId="6" fillId="3" borderId="3" xfId="0" applyNumberFormat="1" applyFont="1" applyFill="1" applyBorder="1" applyAlignment="1">
      <alignment horizontal="right"/>
    </xf>
    <xf numFmtId="0" fontId="5" fillId="3" borderId="3" xfId="0" applyFont="1" applyFill="1" applyBorder="1" applyAlignment="1">
      <alignment horizontal="right"/>
    </xf>
    <xf numFmtId="2" fontId="0" fillId="0" borderId="0" xfId="0" applyNumberFormat="1"/>
    <xf numFmtId="0" fontId="2" fillId="5" borderId="5" xfId="0" applyFont="1" applyFill="1" applyBorder="1" applyAlignment="1">
      <alignment wrapText="1"/>
    </xf>
    <xf numFmtId="0" fontId="2" fillId="5" borderId="3" xfId="0" applyFont="1" applyFill="1" applyBorder="1" applyAlignment="1">
      <alignment horizontal="right" wrapText="1"/>
    </xf>
    <xf numFmtId="0" fontId="4" fillId="6" borderId="3" xfId="0" applyFont="1" applyFill="1" applyBorder="1" applyAlignment="1">
      <alignment horizontal="right"/>
    </xf>
    <xf numFmtId="164" fontId="4" fillId="3" borderId="3" xfId="0" applyNumberFormat="1" applyFont="1" applyFill="1" applyBorder="1" applyAlignment="1">
      <alignment horizontal="right"/>
    </xf>
    <xf numFmtId="0" fontId="4" fillId="7" borderId="3" xfId="0" applyFont="1" applyFill="1" applyBorder="1" applyAlignment="1">
      <alignment horizontal="right"/>
    </xf>
    <xf numFmtId="164" fontId="4" fillId="7" borderId="3" xfId="0" applyNumberFormat="1" applyFont="1" applyFill="1" applyBorder="1" applyAlignment="1">
      <alignment horizontal="right"/>
    </xf>
    <xf numFmtId="0" fontId="3" fillId="7" borderId="3" xfId="0" applyFont="1" applyFill="1" applyBorder="1" applyAlignment="1">
      <alignment horizontal="right"/>
    </xf>
    <xf numFmtId="164" fontId="3" fillId="7" borderId="3" xfId="0" applyNumberFormat="1" applyFont="1" applyFill="1" applyBorder="1" applyAlignment="1">
      <alignment horizontal="right"/>
    </xf>
    <xf numFmtId="0" fontId="0" fillId="7" borderId="0" xfId="0" applyFill="1"/>
    <xf numFmtId="0" fontId="0" fillId="6" borderId="0" xfId="0" applyFill="1"/>
    <xf numFmtId="0" fontId="1" fillId="8" borderId="0" xfId="0" applyFont="1" applyFill="1" applyBorder="1" applyAlignment="1">
      <alignment horizontal="center" textRotation="90"/>
    </xf>
    <xf numFmtId="0" fontId="1" fillId="0" borderId="0" xfId="0" applyFont="1"/>
    <xf numFmtId="164" fontId="4" fillId="13" borderId="3" xfId="0" applyNumberFormat="1" applyFont="1" applyFill="1" applyBorder="1" applyAlignment="1">
      <alignment horizontal="right"/>
    </xf>
    <xf numFmtId="164" fontId="3" fillId="13" borderId="3" xfId="0" applyNumberFormat="1" applyFont="1" applyFill="1" applyBorder="1" applyAlignment="1">
      <alignment horizontal="right"/>
    </xf>
    <xf numFmtId="0" fontId="0" fillId="13" borderId="0" xfId="0" applyFill="1"/>
    <xf numFmtId="164" fontId="0" fillId="13" borderId="0" xfId="0" applyNumberFormat="1" applyFill="1"/>
    <xf numFmtId="164" fontId="0" fillId="7" borderId="0" xfId="0" applyNumberFormat="1" applyFill="1"/>
    <xf numFmtId="0" fontId="0" fillId="11" borderId="0" xfId="0" applyFill="1"/>
    <xf numFmtId="0" fontId="6" fillId="11" borderId="0" xfId="0" applyFont="1" applyFill="1" applyBorder="1" applyAlignment="1">
      <alignment horizontal="right" wrapText="1"/>
    </xf>
    <xf numFmtId="0" fontId="7" fillId="2" borderId="9" xfId="0" applyFont="1" applyFill="1" applyBorder="1"/>
    <xf numFmtId="0" fontId="7" fillId="2" borderId="2" xfId="0" applyFont="1" applyFill="1" applyBorder="1" applyAlignment="1">
      <alignment horizontal="center" wrapText="1"/>
    </xf>
    <xf numFmtId="0" fontId="8" fillId="3" borderId="5" xfId="0" applyFont="1" applyFill="1" applyBorder="1"/>
    <xf numFmtId="3" fontId="8" fillId="3" borderId="3" xfId="0" applyNumberFormat="1" applyFont="1" applyFill="1" applyBorder="1" applyAlignment="1">
      <alignment horizontal="center"/>
    </xf>
    <xf numFmtId="9" fontId="9" fillId="5" borderId="3" xfId="0" applyNumberFormat="1" applyFont="1" applyFill="1" applyBorder="1" applyAlignment="1">
      <alignment horizontal="right"/>
    </xf>
    <xf numFmtId="0" fontId="9" fillId="4" borderId="5" xfId="0" applyFont="1" applyFill="1" applyBorder="1"/>
    <xf numFmtId="3" fontId="9" fillId="4" borderId="3" xfId="0" applyNumberFormat="1" applyFont="1" applyFill="1" applyBorder="1" applyAlignment="1">
      <alignment horizontal="center"/>
    </xf>
    <xf numFmtId="0" fontId="9" fillId="3" borderId="5" xfId="0" applyFont="1" applyFill="1" applyBorder="1"/>
    <xf numFmtId="3" fontId="8" fillId="4" borderId="3" xfId="0" applyNumberFormat="1" applyFont="1" applyFill="1" applyBorder="1" applyAlignment="1">
      <alignment horizontal="center"/>
    </xf>
    <xf numFmtId="9" fontId="9" fillId="14" borderId="3" xfId="0" applyNumberFormat="1" applyFont="1" applyFill="1" applyBorder="1" applyAlignment="1">
      <alignment horizontal="right"/>
    </xf>
    <xf numFmtId="0" fontId="8" fillId="4" borderId="5" xfId="0" applyFont="1" applyFill="1" applyBorder="1"/>
    <xf numFmtId="9" fontId="9" fillId="15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center"/>
    </xf>
    <xf numFmtId="0" fontId="9" fillId="15" borderId="3" xfId="0" applyFont="1" applyFill="1" applyBorder="1"/>
    <xf numFmtId="0" fontId="8" fillId="4" borderId="3" xfId="0" applyFont="1" applyFill="1" applyBorder="1" applyAlignment="1">
      <alignment horizontal="center"/>
    </xf>
    <xf numFmtId="9" fontId="9" fillId="15" borderId="10" xfId="0" applyNumberFormat="1" applyFont="1" applyFill="1" applyBorder="1" applyAlignment="1">
      <alignment horizontal="right"/>
    </xf>
    <xf numFmtId="0" fontId="11" fillId="0" borderId="0" xfId="1" applyAlignment="1" applyProtection="1"/>
    <xf numFmtId="0" fontId="2" fillId="2" borderId="3" xfId="0" applyFont="1" applyFill="1" applyBorder="1" applyAlignment="1">
      <alignment horizontal="center" wrapText="1"/>
    </xf>
    <xf numFmtId="0" fontId="0" fillId="0" borderId="0" xfId="0" applyFill="1"/>
    <xf numFmtId="0" fontId="0" fillId="17" borderId="0" xfId="0" applyFill="1"/>
    <xf numFmtId="0" fontId="1" fillId="9" borderId="0" xfId="0" applyFont="1" applyFill="1"/>
    <xf numFmtId="0" fontId="0" fillId="9" borderId="0" xfId="0" applyFill="1"/>
    <xf numFmtId="0" fontId="0" fillId="20" borderId="0" xfId="0" applyFill="1"/>
    <xf numFmtId="0" fontId="0" fillId="0" borderId="12" xfId="0" applyFill="1" applyBorder="1"/>
    <xf numFmtId="0" fontId="0" fillId="0" borderId="13" xfId="0" applyFill="1" applyBorder="1"/>
    <xf numFmtId="0" fontId="1" fillId="18" borderId="11" xfId="0" applyFont="1" applyFill="1" applyBorder="1"/>
    <xf numFmtId="0" fontId="0" fillId="0" borderId="0" xfId="0" applyFill="1" applyBorder="1"/>
    <xf numFmtId="0" fontId="0" fillId="0" borderId="0" xfId="0" applyAlignment="1">
      <alignment vertical="center"/>
    </xf>
    <xf numFmtId="0" fontId="0" fillId="8" borderId="0" xfId="0" applyFill="1"/>
    <xf numFmtId="0" fontId="0" fillId="25" borderId="0" xfId="0" applyFill="1"/>
    <xf numFmtId="0" fontId="0" fillId="20" borderId="0" xfId="0" applyFill="1" applyAlignment="1">
      <alignment horizontal="center"/>
    </xf>
    <xf numFmtId="0" fontId="0" fillId="24" borderId="0" xfId="0" applyFill="1"/>
    <xf numFmtId="0" fontId="0" fillId="24" borderId="0" xfId="0" applyFill="1" applyAlignment="1">
      <alignment horizontal="center"/>
    </xf>
    <xf numFmtId="0" fontId="0" fillId="22" borderId="0" xfId="0" applyFill="1"/>
    <xf numFmtId="0" fontId="0" fillId="22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12" fillId="25" borderId="0" xfId="0" applyFont="1" applyFill="1"/>
    <xf numFmtId="0" fontId="12" fillId="25" borderId="0" xfId="0" applyFont="1" applyFill="1" applyAlignment="1">
      <alignment horizontal="center"/>
    </xf>
    <xf numFmtId="0" fontId="0" fillId="8" borderId="0" xfId="0" applyFill="1" applyBorder="1"/>
    <xf numFmtId="0" fontId="0" fillId="9" borderId="0" xfId="0" applyFont="1" applyFill="1" applyBorder="1" applyAlignment="1">
      <alignment horizontal="center" vertical="center"/>
    </xf>
    <xf numFmtId="0" fontId="0" fillId="9" borderId="0" xfId="0" applyFill="1" applyAlignment="1">
      <alignment vertical="center"/>
    </xf>
    <xf numFmtId="0" fontId="0" fillId="19" borderId="0" xfId="0" applyFill="1" applyAlignment="1">
      <alignment horizontal="center" vertical="center"/>
    </xf>
    <xf numFmtId="0" fontId="0" fillId="22" borderId="0" xfId="0" applyFill="1" applyBorder="1" applyAlignment="1">
      <alignment horizontal="center" vertical="center" wrapText="1"/>
    </xf>
    <xf numFmtId="0" fontId="1" fillId="22" borderId="0" xfId="0" applyFont="1" applyFill="1" applyBorder="1" applyAlignment="1">
      <alignment horizontal="left" vertical="center" wrapText="1"/>
    </xf>
    <xf numFmtId="0" fontId="1" fillId="9" borderId="0" xfId="0" applyFont="1" applyFill="1" applyAlignment="1">
      <alignment vertical="center"/>
    </xf>
    <xf numFmtId="0" fontId="0" fillId="19" borderId="0" xfId="0" applyFill="1" applyBorder="1" applyAlignment="1">
      <alignment horizontal="center"/>
    </xf>
    <xf numFmtId="0" fontId="0" fillId="25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Alignment="1">
      <alignment vertical="center"/>
    </xf>
    <xf numFmtId="0" fontId="0" fillId="22" borderId="23" xfId="0" applyFill="1" applyBorder="1" applyAlignment="1">
      <alignment horizontal="center" vertical="center"/>
    </xf>
    <xf numFmtId="0" fontId="0" fillId="9" borderId="24" xfId="0" applyFont="1" applyFill="1" applyBorder="1" applyAlignment="1">
      <alignment horizontal="center" vertical="center"/>
    </xf>
    <xf numFmtId="0" fontId="0" fillId="9" borderId="25" xfId="0" applyFont="1" applyFill="1" applyBorder="1" applyAlignment="1">
      <alignment horizontal="center" vertical="center"/>
    </xf>
    <xf numFmtId="0" fontId="0" fillId="19" borderId="26" xfId="0" applyFill="1" applyBorder="1" applyAlignment="1">
      <alignment horizontal="center"/>
    </xf>
    <xf numFmtId="0" fontId="0" fillId="0" borderId="27" xfId="0" applyFill="1" applyBorder="1"/>
    <xf numFmtId="0" fontId="0" fillId="19" borderId="28" xfId="0" applyFill="1" applyBorder="1" applyAlignment="1">
      <alignment horizontal="center"/>
    </xf>
    <xf numFmtId="0" fontId="0" fillId="0" borderId="29" xfId="0" applyFill="1" applyBorder="1"/>
    <xf numFmtId="0" fontId="0" fillId="0" borderId="30" xfId="0" applyFill="1" applyBorder="1"/>
    <xf numFmtId="0" fontId="0" fillId="0" borderId="22" xfId="0" applyBorder="1"/>
    <xf numFmtId="0" fontId="1" fillId="21" borderId="14" xfId="0" applyFont="1" applyFill="1" applyBorder="1" applyAlignment="1">
      <alignment horizontal="center" textRotation="90" wrapText="1"/>
    </xf>
    <xf numFmtId="0" fontId="1" fillId="20" borderId="15" xfId="0" applyFont="1" applyFill="1" applyBorder="1" applyAlignment="1">
      <alignment horizontal="center" textRotation="90" wrapText="1"/>
    </xf>
    <xf numFmtId="0" fontId="1" fillId="19" borderId="15" xfId="0" applyFont="1" applyFill="1" applyBorder="1" applyAlignment="1">
      <alignment horizontal="center" textRotation="90" wrapText="1"/>
    </xf>
    <xf numFmtId="0" fontId="1" fillId="24" borderId="15" xfId="0" applyFont="1" applyFill="1" applyBorder="1" applyAlignment="1">
      <alignment horizontal="center" textRotation="90" wrapText="1"/>
    </xf>
    <xf numFmtId="0" fontId="1" fillId="11" borderId="15" xfId="0" applyFont="1" applyFill="1" applyBorder="1" applyAlignment="1">
      <alignment horizontal="center" textRotation="90" wrapText="1"/>
    </xf>
    <xf numFmtId="0" fontId="1" fillId="22" borderId="15" xfId="0" applyFont="1" applyFill="1" applyBorder="1" applyAlignment="1">
      <alignment horizontal="center" textRotation="90" wrapText="1"/>
    </xf>
    <xf numFmtId="0" fontId="1" fillId="10" borderId="15" xfId="0" applyFont="1" applyFill="1" applyBorder="1" applyAlignment="1">
      <alignment horizontal="center" textRotation="90" wrapText="1"/>
    </xf>
    <xf numFmtId="0" fontId="1" fillId="17" borderId="16" xfId="0" applyFont="1" applyFill="1" applyBorder="1" applyAlignment="1">
      <alignment horizontal="center" textRotation="90" wrapText="1"/>
    </xf>
    <xf numFmtId="164" fontId="0" fillId="21" borderId="17" xfId="0" applyNumberFormat="1" applyFill="1" applyBorder="1"/>
    <xf numFmtId="164" fontId="0" fillId="20" borderId="0" xfId="0" applyNumberFormat="1" applyFill="1" applyBorder="1"/>
    <xf numFmtId="164" fontId="0" fillId="19" borderId="0" xfId="0" applyNumberFormat="1" applyFill="1" applyBorder="1"/>
    <xf numFmtId="164" fontId="0" fillId="24" borderId="0" xfId="0" applyNumberFormat="1" applyFill="1" applyBorder="1"/>
    <xf numFmtId="164" fontId="0" fillId="11" borderId="0" xfId="0" applyNumberFormat="1" applyFill="1" applyBorder="1"/>
    <xf numFmtId="164" fontId="0" fillId="22" borderId="0" xfId="0" applyNumberFormat="1" applyFill="1" applyBorder="1"/>
    <xf numFmtId="164" fontId="0" fillId="10" borderId="0" xfId="0" applyNumberFormat="1" applyFill="1" applyBorder="1"/>
    <xf numFmtId="164" fontId="0" fillId="17" borderId="18" xfId="0" applyNumberFormat="1" applyFill="1" applyBorder="1"/>
    <xf numFmtId="164" fontId="0" fillId="21" borderId="19" xfId="0" applyNumberFormat="1" applyFill="1" applyBorder="1"/>
    <xf numFmtId="164" fontId="0" fillId="20" borderId="20" xfId="0" applyNumberFormat="1" applyFill="1" applyBorder="1"/>
    <xf numFmtId="164" fontId="0" fillId="19" borderId="20" xfId="0" applyNumberFormat="1" applyFill="1" applyBorder="1"/>
    <xf numFmtId="164" fontId="0" fillId="24" borderId="20" xfId="0" applyNumberFormat="1" applyFill="1" applyBorder="1"/>
    <xf numFmtId="164" fontId="0" fillId="11" borderId="20" xfId="0" applyNumberFormat="1" applyFill="1" applyBorder="1"/>
    <xf numFmtId="164" fontId="0" fillId="22" borderId="20" xfId="0" applyNumberFormat="1" applyFill="1" applyBorder="1"/>
    <xf numFmtId="164" fontId="0" fillId="10" borderId="20" xfId="0" applyNumberFormat="1" applyFill="1" applyBorder="1"/>
    <xf numFmtId="164" fontId="0" fillId="17" borderId="21" xfId="0" applyNumberFormat="1" applyFill="1" applyBorder="1"/>
    <xf numFmtId="0" fontId="1" fillId="16" borderId="14" xfId="0" applyFont="1" applyFill="1" applyBorder="1" applyAlignment="1">
      <alignment horizontal="center" textRotation="90" wrapText="1"/>
    </xf>
    <xf numFmtId="0" fontId="1" fillId="26" borderId="16" xfId="0" applyFont="1" applyFill="1" applyBorder="1" applyAlignment="1">
      <alignment horizontal="center" textRotation="90" wrapText="1"/>
    </xf>
    <xf numFmtId="164" fontId="0" fillId="16" borderId="17" xfId="0" applyNumberFormat="1" applyFill="1" applyBorder="1"/>
    <xf numFmtId="0" fontId="0" fillId="26" borderId="18" xfId="0" applyFill="1" applyBorder="1"/>
    <xf numFmtId="164" fontId="0" fillId="16" borderId="19" xfId="0" applyNumberFormat="1" applyFill="1" applyBorder="1"/>
    <xf numFmtId="0" fontId="0" fillId="26" borderId="21" xfId="0" applyFill="1" applyBorder="1"/>
    <xf numFmtId="0" fontId="1" fillId="8" borderId="14" xfId="0" applyFont="1" applyFill="1" applyBorder="1" applyAlignment="1">
      <alignment horizontal="center" textRotation="90"/>
    </xf>
    <xf numFmtId="0" fontId="1" fillId="8" borderId="15" xfId="0" applyFont="1" applyFill="1" applyBorder="1" applyAlignment="1">
      <alignment horizontal="center" textRotation="90"/>
    </xf>
    <xf numFmtId="0" fontId="1" fillId="8" borderId="16" xfId="0" applyFont="1" applyFill="1" applyBorder="1" applyAlignment="1">
      <alignment horizontal="center" textRotation="90"/>
    </xf>
    <xf numFmtId="0" fontId="0" fillId="8" borderId="17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20" xfId="0" applyFill="1" applyBorder="1"/>
    <xf numFmtId="3" fontId="0" fillId="8" borderId="18" xfId="0" applyNumberFormat="1" applyFont="1" applyFill="1" applyBorder="1" applyAlignment="1">
      <alignment horizontal="right"/>
    </xf>
    <xf numFmtId="3" fontId="13" fillId="8" borderId="18" xfId="0" applyNumberFormat="1" applyFont="1" applyFill="1" applyBorder="1" applyAlignment="1">
      <alignment horizontal="right"/>
    </xf>
    <xf numFmtId="3" fontId="0" fillId="8" borderId="21" xfId="0" applyNumberFormat="1" applyFont="1" applyFill="1" applyBorder="1" applyAlignment="1">
      <alignment horizontal="right"/>
    </xf>
    <xf numFmtId="0" fontId="1" fillId="19" borderId="0" xfId="0" applyFont="1" applyFill="1" applyAlignment="1">
      <alignment horizontal="center" vertical="center" wrapText="1"/>
    </xf>
    <xf numFmtId="0" fontId="0" fillId="8" borderId="31" xfId="0" applyFill="1" applyBorder="1"/>
    <xf numFmtId="0" fontId="0" fillId="19" borderId="32" xfId="0" applyFill="1" applyBorder="1" applyAlignment="1">
      <alignment horizontal="center"/>
    </xf>
    <xf numFmtId="0" fontId="0" fillId="0" borderId="32" xfId="0" applyFill="1" applyBorder="1"/>
    <xf numFmtId="0" fontId="0" fillId="0" borderId="33" xfId="0" applyFill="1" applyBorder="1"/>
    <xf numFmtId="0" fontId="0" fillId="8" borderId="34" xfId="0" applyFill="1" applyBorder="1"/>
    <xf numFmtId="0" fontId="0" fillId="0" borderId="35" xfId="0" applyFill="1" applyBorder="1"/>
    <xf numFmtId="0" fontId="0" fillId="8" borderId="36" xfId="0" applyFill="1" applyBorder="1"/>
    <xf numFmtId="0" fontId="0" fillId="19" borderId="37" xfId="0" applyFill="1" applyBorder="1" applyAlignment="1">
      <alignment horizontal="center"/>
    </xf>
    <xf numFmtId="0" fontId="0" fillId="0" borderId="37" xfId="0" applyFill="1" applyBorder="1"/>
    <xf numFmtId="0" fontId="0" fillId="0" borderId="38" xfId="0" applyFill="1" applyBorder="1"/>
    <xf numFmtId="0" fontId="0" fillId="9" borderId="39" xfId="0" applyFont="1" applyFill="1" applyBorder="1" applyAlignment="1">
      <alignment horizontal="center" vertical="center"/>
    </xf>
    <xf numFmtId="0" fontId="0" fillId="0" borderId="40" xfId="0" applyFill="1" applyBorder="1"/>
    <xf numFmtId="0" fontId="0" fillId="0" borderId="41" xfId="0" applyFill="1" applyBorder="1"/>
    <xf numFmtId="0" fontId="0" fillId="0" borderId="42" xfId="0" applyFill="1" applyBorder="1"/>
    <xf numFmtId="0" fontId="14" fillId="25" borderId="0" xfId="0" applyFont="1" applyFill="1" applyAlignment="1">
      <alignment vertical="center"/>
    </xf>
    <xf numFmtId="0" fontId="0" fillId="23" borderId="44" xfId="0" applyFill="1" applyBorder="1"/>
    <xf numFmtId="0" fontId="0" fillId="23" borderId="0" xfId="0" applyFill="1" applyBorder="1"/>
    <xf numFmtId="0" fontId="0" fillId="23" borderId="45" xfId="0" applyFill="1" applyBorder="1"/>
    <xf numFmtId="0" fontId="0" fillId="0" borderId="46" xfId="0" applyBorder="1"/>
    <xf numFmtId="0" fontId="0" fillId="0" borderId="47" xfId="0" applyBorder="1"/>
    <xf numFmtId="3" fontId="8" fillId="4" borderId="3" xfId="0" applyNumberFormat="1" applyFont="1" applyFill="1" applyBorder="1" applyAlignment="1">
      <alignment horizontal="right"/>
    </xf>
    <xf numFmtId="3" fontId="9" fillId="4" borderId="3" xfId="0" applyNumberFormat="1" applyFont="1" applyFill="1" applyBorder="1" applyAlignment="1">
      <alignment horizontal="right"/>
    </xf>
    <xf numFmtId="3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0" fontId="8" fillId="4" borderId="3" xfId="0" applyFont="1" applyFill="1" applyBorder="1" applyAlignment="1">
      <alignment horizontal="right"/>
    </xf>
    <xf numFmtId="3" fontId="5" fillId="3" borderId="3" xfId="0" applyNumberFormat="1" applyFont="1" applyFill="1" applyBorder="1"/>
    <xf numFmtId="164" fontId="0" fillId="22" borderId="0" xfId="0" applyNumberFormat="1" applyFill="1"/>
    <xf numFmtId="0" fontId="1" fillId="13" borderId="0" xfId="0" applyFont="1" applyFill="1"/>
    <xf numFmtId="0" fontId="1" fillId="22" borderId="0" xfId="0" applyFont="1" applyFill="1" applyAlignment="1">
      <alignment vertical="center" wrapText="1"/>
    </xf>
    <xf numFmtId="0" fontId="0" fillId="23" borderId="0" xfId="0" applyFill="1"/>
    <xf numFmtId="0" fontId="1" fillId="11" borderId="0" xfId="0" applyFont="1" applyFill="1" applyAlignment="1">
      <alignment wrapText="1"/>
    </xf>
    <xf numFmtId="0" fontId="0" fillId="0" borderId="0" xfId="0" pivotButton="1"/>
    <xf numFmtId="0" fontId="0" fillId="0" borderId="0" xfId="0" applyNumberFormat="1"/>
    <xf numFmtId="0" fontId="1" fillId="0" borderId="0" xfId="0" applyFont="1" applyAlignment="1">
      <alignment vertical="center" wrapText="1"/>
    </xf>
    <xf numFmtId="0" fontId="1" fillId="23" borderId="43" xfId="0" applyFont="1" applyFill="1" applyBorder="1" applyAlignment="1">
      <alignment vertical="center" wrapText="1"/>
    </xf>
    <xf numFmtId="0" fontId="0" fillId="23" borderId="0" xfId="0" applyFill="1" applyAlignment="1">
      <alignment horizontal="center"/>
    </xf>
    <xf numFmtId="3" fontId="0" fillId="23" borderId="0" xfId="0" applyNumberFormat="1" applyFill="1"/>
    <xf numFmtId="0" fontId="1" fillId="23" borderId="43" xfId="0" applyFont="1" applyFill="1" applyBorder="1"/>
    <xf numFmtId="3" fontId="1" fillId="23" borderId="43" xfId="0" applyNumberFormat="1" applyFont="1" applyFill="1" applyBorder="1"/>
    <xf numFmtId="0" fontId="1" fillId="23" borderId="43" xfId="0" applyFont="1" applyFill="1" applyBorder="1" applyAlignment="1">
      <alignment horizontal="center"/>
    </xf>
    <xf numFmtId="0" fontId="1" fillId="21" borderId="0" xfId="0" applyFont="1" applyFill="1" applyBorder="1" applyAlignment="1">
      <alignment horizontal="center" textRotation="90" wrapText="1"/>
    </xf>
    <xf numFmtId="0" fontId="1" fillId="20" borderId="0" xfId="0" applyFont="1" applyFill="1" applyBorder="1" applyAlignment="1">
      <alignment horizontal="center" textRotation="90" wrapText="1"/>
    </xf>
    <xf numFmtId="0" fontId="1" fillId="19" borderId="0" xfId="0" applyFont="1" applyFill="1" applyBorder="1" applyAlignment="1">
      <alignment horizontal="center" textRotation="90" wrapText="1"/>
    </xf>
    <xf numFmtId="0" fontId="1" fillId="24" borderId="0" xfId="0" applyFont="1" applyFill="1" applyBorder="1" applyAlignment="1">
      <alignment horizontal="center" textRotation="90" wrapText="1"/>
    </xf>
    <xf numFmtId="0" fontId="1" fillId="11" borderId="0" xfId="0" applyFont="1" applyFill="1" applyBorder="1" applyAlignment="1">
      <alignment horizontal="center" textRotation="90" wrapText="1"/>
    </xf>
    <xf numFmtId="0" fontId="1" fillId="22" borderId="0" xfId="0" applyFont="1" applyFill="1" applyBorder="1" applyAlignment="1">
      <alignment horizontal="center" textRotation="90" wrapText="1"/>
    </xf>
    <xf numFmtId="0" fontId="1" fillId="10" borderId="0" xfId="0" applyFont="1" applyFill="1" applyBorder="1" applyAlignment="1">
      <alignment horizontal="center" textRotation="90" wrapText="1"/>
    </xf>
    <xf numFmtId="0" fontId="1" fillId="17" borderId="0" xfId="0" applyFont="1" applyFill="1" applyBorder="1" applyAlignment="1">
      <alignment horizontal="center" textRotation="90" wrapText="1"/>
    </xf>
    <xf numFmtId="0" fontId="0" fillId="8" borderId="0" xfId="0" applyFill="1" applyBorder="1" applyAlignment="1">
      <alignment horizontal="center"/>
    </xf>
    <xf numFmtId="3" fontId="0" fillId="8" borderId="0" xfId="0" applyNumberFormat="1" applyFont="1" applyFill="1" applyBorder="1" applyAlignment="1">
      <alignment horizontal="right"/>
    </xf>
    <xf numFmtId="164" fontId="0" fillId="21" borderId="0" xfId="0" applyNumberFormat="1" applyFill="1" applyBorder="1"/>
    <xf numFmtId="164" fontId="0" fillId="17" borderId="0" xfId="0" applyNumberFormat="1" applyFill="1" applyBorder="1"/>
    <xf numFmtId="3" fontId="13" fillId="8" borderId="0" xfId="0" applyNumberFormat="1" applyFont="1" applyFill="1" applyBorder="1" applyAlignment="1">
      <alignment horizontal="right"/>
    </xf>
    <xf numFmtId="164" fontId="0" fillId="8" borderId="48" xfId="0" applyNumberFormat="1" applyFill="1" applyBorder="1"/>
    <xf numFmtId="0" fontId="1" fillId="23" borderId="0" xfId="0" applyFont="1" applyFill="1" applyBorder="1" applyAlignment="1">
      <alignment horizontal="center" textRotation="90" wrapText="1"/>
    </xf>
    <xf numFmtId="0" fontId="1" fillId="25" borderId="0" xfId="0" applyFont="1" applyFill="1" applyBorder="1" applyAlignment="1">
      <alignment horizontal="center" textRotation="90" wrapText="1"/>
    </xf>
    <xf numFmtId="0" fontId="0" fillId="25" borderId="0" xfId="0" applyFill="1" applyBorder="1"/>
    <xf numFmtId="0" fontId="1" fillId="28" borderId="0" xfId="0" applyFont="1" applyFill="1" applyBorder="1" applyAlignment="1">
      <alignment horizontal="center" textRotation="90" wrapText="1"/>
    </xf>
    <xf numFmtId="0" fontId="0" fillId="28" borderId="0" xfId="0" applyFill="1"/>
    <xf numFmtId="0" fontId="16" fillId="0" borderId="0" xfId="0" applyFont="1" applyAlignment="1">
      <alignment vertical="center"/>
    </xf>
    <xf numFmtId="0" fontId="16" fillId="8" borderId="0" xfId="0" applyFont="1" applyFill="1" applyAlignment="1">
      <alignment vertical="center"/>
    </xf>
    <xf numFmtId="0" fontId="1" fillId="23" borderId="0" xfId="0" applyFont="1" applyFill="1"/>
    <xf numFmtId="0" fontId="0" fillId="0" borderId="0" xfId="0" quotePrefix="1"/>
    <xf numFmtId="164" fontId="0" fillId="0" borderId="0" xfId="0" quotePrefix="1" applyNumberFormat="1" applyFill="1" applyBorder="1"/>
    <xf numFmtId="0" fontId="18" fillId="29" borderId="0" xfId="0" applyFont="1" applyFill="1" applyAlignment="1">
      <alignment vertical="center" wrapText="1"/>
    </xf>
    <xf numFmtId="0" fontId="19" fillId="8" borderId="0" xfId="2" applyFill="1"/>
    <xf numFmtId="0" fontId="20" fillId="8" borderId="0" xfId="2" applyFont="1" applyFill="1" applyAlignment="1">
      <alignment horizontal="left"/>
    </xf>
    <xf numFmtId="0" fontId="19" fillId="8" borderId="0" xfId="2" applyFill="1" applyAlignment="1">
      <alignment horizontal="left"/>
    </xf>
    <xf numFmtId="0" fontId="19" fillId="8" borderId="0" xfId="2" applyFill="1" applyBorder="1"/>
    <xf numFmtId="0" fontId="21" fillId="8" borderId="0" xfId="2" applyFont="1" applyFill="1"/>
    <xf numFmtId="0" fontId="19" fillId="8" borderId="0" xfId="2" applyFill="1" applyAlignment="1">
      <alignment horizontal="right"/>
    </xf>
    <xf numFmtId="0" fontId="23" fillId="8" borderId="0" xfId="2" applyFont="1" applyFill="1" applyBorder="1" applyAlignment="1">
      <alignment vertical="center"/>
    </xf>
    <xf numFmtId="15" fontId="24" fillId="30" borderId="0" xfId="2" quotePrefix="1" applyNumberFormat="1" applyFont="1" applyFill="1" applyBorder="1" applyAlignment="1">
      <alignment horizontal="left" vertical="center"/>
    </xf>
    <xf numFmtId="0" fontId="23" fillId="30" borderId="0" xfId="2" applyFont="1" applyFill="1" applyBorder="1" applyAlignment="1">
      <alignment horizontal="left" vertical="center"/>
    </xf>
    <xf numFmtId="0" fontId="23" fillId="30" borderId="0" xfId="2" applyFont="1" applyFill="1" applyBorder="1" applyAlignment="1">
      <alignment vertical="center"/>
    </xf>
    <xf numFmtId="0" fontId="25" fillId="30" borderId="0" xfId="2" applyNumberFormat="1" applyFont="1" applyFill="1" applyBorder="1" applyAlignment="1" applyProtection="1">
      <alignment horizontal="center" vertical="center" textRotation="90"/>
      <protection locked="0"/>
    </xf>
    <xf numFmtId="0" fontId="26" fillId="30" borderId="0" xfId="2" applyFont="1" applyFill="1" applyBorder="1" applyAlignment="1">
      <alignment horizontal="right" vertical="center"/>
    </xf>
    <xf numFmtId="0" fontId="23" fillId="8" borderId="0" xfId="2" applyFont="1" applyFill="1" applyBorder="1"/>
    <xf numFmtId="15" fontId="24" fillId="8" borderId="0" xfId="2" quotePrefix="1" applyNumberFormat="1" applyFont="1" applyFill="1" applyBorder="1" applyAlignment="1">
      <alignment horizontal="left"/>
    </xf>
    <xf numFmtId="0" fontId="23" fillId="8" borderId="0" xfId="2" applyFont="1" applyFill="1" applyBorder="1" applyAlignment="1">
      <alignment horizontal="left"/>
    </xf>
    <xf numFmtId="0" fontId="25" fillId="8" borderId="0" xfId="2" applyNumberFormat="1" applyFont="1" applyFill="1" applyBorder="1" applyAlignment="1" applyProtection="1">
      <alignment horizontal="center" textRotation="90"/>
      <protection locked="0"/>
    </xf>
    <xf numFmtId="0" fontId="27" fillId="8" borderId="0" xfId="2" applyNumberFormat="1" applyFont="1" applyFill="1" applyBorder="1" applyAlignment="1" applyProtection="1">
      <alignment vertical="center" textRotation="90"/>
      <protection locked="0"/>
    </xf>
    <xf numFmtId="0" fontId="27" fillId="8" borderId="0" xfId="2" applyNumberFormat="1" applyFont="1" applyFill="1" applyBorder="1" applyAlignment="1" applyProtection="1">
      <alignment horizontal="left" textRotation="90"/>
      <protection locked="0"/>
    </xf>
    <xf numFmtId="1" fontId="28" fillId="8" borderId="0" xfId="2" applyNumberFormat="1" applyFont="1" applyFill="1" applyBorder="1" applyAlignment="1" applyProtection="1">
      <alignment horizontal="center" textRotation="90"/>
      <protection locked="0"/>
    </xf>
    <xf numFmtId="0" fontId="27" fillId="8" borderId="0" xfId="2" applyNumberFormat="1" applyFont="1" applyFill="1" applyBorder="1" applyAlignment="1" applyProtection="1">
      <alignment horizontal="center" textRotation="90"/>
      <protection locked="0"/>
    </xf>
    <xf numFmtId="0" fontId="27" fillId="8" borderId="0" xfId="2" applyNumberFormat="1" applyFont="1" applyFill="1" applyBorder="1" applyAlignment="1" applyProtection="1">
      <alignment horizontal="center" vertical="center" textRotation="90"/>
      <protection locked="0"/>
    </xf>
    <xf numFmtId="0" fontId="27" fillId="8" borderId="0" xfId="2" applyNumberFormat="1" applyFont="1" applyFill="1" applyBorder="1" applyAlignment="1" applyProtection="1">
      <alignment horizontal="center" vertical="center"/>
      <protection locked="0"/>
    </xf>
    <xf numFmtId="0" fontId="19" fillId="8" borderId="0" xfId="2" applyFont="1" applyFill="1" applyBorder="1" applyAlignment="1">
      <alignment horizontal="center" vertical="center"/>
    </xf>
    <xf numFmtId="0" fontId="27" fillId="8" borderId="0" xfId="2" applyNumberFormat="1" applyFont="1" applyFill="1" applyBorder="1" applyAlignment="1" applyProtection="1">
      <alignment vertical="center"/>
      <protection locked="0"/>
    </xf>
    <xf numFmtId="0" fontId="29" fillId="8" borderId="0" xfId="2" applyNumberFormat="1" applyFont="1" applyFill="1" applyBorder="1" applyAlignment="1" applyProtection="1">
      <protection locked="0"/>
    </xf>
    <xf numFmtId="0" fontId="30" fillId="8" borderId="0" xfId="2" applyNumberFormat="1" applyFont="1" applyFill="1" applyBorder="1" applyAlignment="1" applyProtection="1">
      <alignment horizontal="left" vertical="center"/>
      <protection locked="0"/>
    </xf>
    <xf numFmtId="0" fontId="30" fillId="8" borderId="0" xfId="2" applyNumberFormat="1" applyFont="1" applyFill="1" applyBorder="1" applyAlignment="1" applyProtection="1">
      <alignment horizontal="centerContinuous" vertical="center"/>
      <protection locked="0"/>
    </xf>
    <xf numFmtId="0" fontId="31" fillId="8" borderId="0" xfId="2" applyNumberFormat="1" applyFont="1" applyFill="1" applyBorder="1" applyAlignment="1" applyProtection="1">
      <alignment horizontal="center" textRotation="90"/>
      <protection locked="0"/>
    </xf>
    <xf numFmtId="0" fontId="19" fillId="8" borderId="0" xfId="2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9" fillId="0" borderId="49" xfId="2" applyFont="1" applyBorder="1" applyAlignment="1">
      <alignment vertical="center"/>
    </xf>
    <xf numFmtId="0" fontId="19" fillId="8" borderId="49" xfId="2" applyFont="1" applyFill="1" applyBorder="1" applyAlignment="1">
      <alignment horizontal="left" vertical="center"/>
    </xf>
    <xf numFmtId="0" fontId="19" fillId="0" borderId="49" xfId="2" applyFont="1" applyBorder="1" applyAlignment="1">
      <alignment horizontal="left" vertical="center"/>
    </xf>
    <xf numFmtId="0" fontId="19" fillId="8" borderId="50" xfId="2" applyFont="1" applyFill="1" applyBorder="1" applyAlignment="1">
      <alignment horizontal="center"/>
    </xf>
    <xf numFmtId="165" fontId="32" fillId="31" borderId="51" xfId="2" applyNumberFormat="1" applyFont="1" applyFill="1" applyBorder="1" applyAlignment="1">
      <alignment horizontal="center" vertical="center"/>
    </xf>
    <xf numFmtId="165" fontId="32" fillId="31" borderId="52" xfId="2" applyNumberFormat="1" applyFont="1" applyFill="1" applyBorder="1" applyAlignment="1">
      <alignment horizontal="center" vertical="center"/>
    </xf>
    <xf numFmtId="0" fontId="32" fillId="8" borderId="50" xfId="2" applyFont="1" applyFill="1" applyBorder="1" applyAlignment="1">
      <alignment horizontal="center" vertical="center"/>
    </xf>
    <xf numFmtId="165" fontId="33" fillId="31" borderId="51" xfId="2" applyNumberFormat="1" applyFont="1" applyFill="1" applyBorder="1" applyAlignment="1">
      <alignment horizontal="center" vertical="center"/>
    </xf>
    <xf numFmtId="0" fontId="32" fillId="8" borderId="52" xfId="2" applyFont="1" applyFill="1" applyBorder="1" applyAlignment="1">
      <alignment vertical="center"/>
    </xf>
    <xf numFmtId="0" fontId="20" fillId="0" borderId="0" xfId="2" applyFont="1"/>
    <xf numFmtId="165" fontId="33" fillId="31" borderId="52" xfId="2" applyNumberFormat="1" applyFont="1" applyFill="1" applyBorder="1" applyAlignment="1">
      <alignment horizontal="center" vertical="center"/>
    </xf>
    <xf numFmtId="0" fontId="20" fillId="31" borderId="0" xfId="2" applyFont="1" applyFill="1" applyBorder="1" applyAlignment="1">
      <alignment horizontal="center" vertical="center"/>
    </xf>
    <xf numFmtId="165" fontId="32" fillId="31" borderId="0" xfId="2" applyNumberFormat="1" applyFont="1" applyFill="1" applyBorder="1" applyAlignment="1">
      <alignment horizontal="center" vertical="center"/>
    </xf>
    <xf numFmtId="165" fontId="20" fillId="31" borderId="50" xfId="2" applyNumberFormat="1" applyFont="1" applyFill="1" applyBorder="1" applyAlignment="1">
      <alignment horizontal="center" vertical="center"/>
    </xf>
    <xf numFmtId="165" fontId="28" fillId="32" borderId="52" xfId="2" applyNumberFormat="1" applyFont="1" applyFill="1" applyBorder="1" applyAlignment="1">
      <alignment horizontal="center" vertical="center"/>
    </xf>
    <xf numFmtId="165" fontId="28" fillId="31" borderId="50" xfId="2" applyNumberFormat="1" applyFont="1" applyFill="1" applyBorder="1" applyAlignment="1">
      <alignment horizontal="center" vertical="center"/>
    </xf>
    <xf numFmtId="0" fontId="27" fillId="0" borderId="0" xfId="2" applyNumberFormat="1" applyFont="1" applyAlignment="1" applyProtection="1">
      <protection locked="0"/>
    </xf>
    <xf numFmtId="0" fontId="19" fillId="8" borderId="0" xfId="2" applyFont="1" applyFill="1" applyAlignment="1">
      <alignment horizontal="center" vertical="center"/>
    </xf>
    <xf numFmtId="0" fontId="19" fillId="0" borderId="0" xfId="2" applyFont="1"/>
    <xf numFmtId="0" fontId="19" fillId="8" borderId="50" xfId="2" applyFont="1" applyFill="1" applyBorder="1" applyAlignment="1">
      <alignment horizontal="center" vertical="center"/>
    </xf>
    <xf numFmtId="0" fontId="20" fillId="0" borderId="0" xfId="2" applyFont="1" applyAlignment="1">
      <alignment vertical="center"/>
    </xf>
    <xf numFmtId="0" fontId="27" fillId="0" borderId="0" xfId="2" applyNumberFormat="1" applyFont="1" applyAlignment="1" applyProtection="1">
      <alignment vertical="center"/>
      <protection locked="0"/>
    </xf>
    <xf numFmtId="0" fontId="19" fillId="8" borderId="0" xfId="2" applyFont="1" applyFill="1" applyAlignment="1">
      <alignment horizontal="center"/>
    </xf>
    <xf numFmtId="0" fontId="19" fillId="0" borderId="0" xfId="2" applyFont="1" applyBorder="1" applyAlignment="1">
      <alignment vertical="center"/>
    </xf>
    <xf numFmtId="0" fontId="19" fillId="8" borderId="0" xfId="2" applyFont="1" applyFill="1" applyBorder="1" applyAlignment="1">
      <alignment horizontal="center"/>
    </xf>
    <xf numFmtId="0" fontId="34" fillId="8" borderId="49" xfId="2" applyFont="1" applyFill="1" applyBorder="1" applyAlignment="1">
      <alignment horizontal="left" vertical="center"/>
    </xf>
    <xf numFmtId="0" fontId="20" fillId="0" borderId="0" xfId="2" applyFont="1" applyBorder="1" applyAlignment="1">
      <alignment vertical="center"/>
    </xf>
    <xf numFmtId="0" fontId="32" fillId="8" borderId="50" xfId="2" applyFont="1" applyFill="1" applyBorder="1"/>
    <xf numFmtId="0" fontId="32" fillId="8" borderId="52" xfId="2" applyFont="1" applyFill="1" applyBorder="1"/>
    <xf numFmtId="0" fontId="20" fillId="31" borderId="0" xfId="2" applyFont="1" applyFill="1" applyBorder="1"/>
    <xf numFmtId="165" fontId="20" fillId="0" borderId="50" xfId="2" applyNumberFormat="1" applyFont="1" applyBorder="1" applyAlignment="1">
      <alignment horizontal="center"/>
    </xf>
    <xf numFmtId="0" fontId="19" fillId="8" borderId="53" xfId="2" applyFont="1" applyFill="1" applyBorder="1" applyAlignment="1">
      <alignment horizontal="center" vertical="center"/>
    </xf>
    <xf numFmtId="0" fontId="32" fillId="8" borderId="53" xfId="2" applyFont="1" applyFill="1" applyBorder="1" applyAlignment="1">
      <alignment horizontal="center" vertical="center"/>
    </xf>
    <xf numFmtId="0" fontId="32" fillId="8" borderId="54" xfId="2" applyFont="1" applyFill="1" applyBorder="1" applyAlignment="1">
      <alignment vertical="center"/>
    </xf>
    <xf numFmtId="0" fontId="32" fillId="8" borderId="0" xfId="2" applyFont="1" applyFill="1" applyBorder="1" applyAlignment="1">
      <alignment horizontal="center" vertical="center"/>
    </xf>
    <xf numFmtId="0" fontId="32" fillId="8" borderId="0" xfId="2" applyFont="1" applyFill="1" applyBorder="1" applyAlignment="1">
      <alignment vertical="center"/>
    </xf>
    <xf numFmtId="0" fontId="19" fillId="8" borderId="53" xfId="2" applyFont="1" applyFill="1" applyBorder="1" applyAlignment="1">
      <alignment horizontal="center"/>
    </xf>
    <xf numFmtId="0" fontId="32" fillId="8" borderId="55" xfId="2" applyFont="1" applyFill="1" applyBorder="1" applyAlignment="1">
      <alignment vertical="center"/>
    </xf>
    <xf numFmtId="165" fontId="20" fillId="31" borderId="0" xfId="2" applyNumberFormat="1" applyFont="1" applyFill="1" applyBorder="1" applyAlignment="1">
      <alignment horizontal="center" vertical="center"/>
    </xf>
    <xf numFmtId="0" fontId="32" fillId="8" borderId="53" xfId="2" applyFont="1" applyFill="1" applyBorder="1"/>
    <xf numFmtId="0" fontId="32" fillId="8" borderId="55" xfId="2" applyFont="1" applyFill="1" applyBorder="1"/>
    <xf numFmtId="0" fontId="27" fillId="0" borderId="0" xfId="2" applyNumberFormat="1" applyFont="1" applyBorder="1" applyAlignment="1" applyProtection="1">
      <alignment vertical="center"/>
      <protection locked="0"/>
    </xf>
    <xf numFmtId="0" fontId="19" fillId="0" borderId="0" xfId="2" applyBorder="1"/>
    <xf numFmtId="0" fontId="19" fillId="8" borderId="56" xfId="2" applyFill="1" applyBorder="1" applyAlignment="1">
      <alignment horizontal="left"/>
    </xf>
    <xf numFmtId="0" fontId="19" fillId="0" borderId="56" xfId="2" applyBorder="1" applyAlignment="1">
      <alignment horizontal="left"/>
    </xf>
    <xf numFmtId="0" fontId="19" fillId="8" borderId="0" xfId="2" applyFill="1" applyBorder="1" applyAlignment="1">
      <alignment horizontal="center"/>
    </xf>
    <xf numFmtId="1" fontId="34" fillId="0" borderId="0" xfId="2" applyNumberFormat="1" applyFont="1" applyBorder="1"/>
    <xf numFmtId="1" fontId="34" fillId="0" borderId="0" xfId="2" applyNumberFormat="1" applyFont="1" applyBorder="1" applyAlignment="1">
      <alignment horizontal="center"/>
    </xf>
    <xf numFmtId="1" fontId="35" fillId="31" borderId="0" xfId="2" applyNumberFormat="1" applyFont="1" applyFill="1" applyBorder="1" applyAlignment="1">
      <alignment horizontal="center" vertical="center"/>
    </xf>
    <xf numFmtId="1" fontId="35" fillId="31" borderId="57" xfId="2" applyNumberFormat="1" applyFont="1" applyFill="1" applyBorder="1" applyAlignment="1">
      <alignment horizontal="center" vertical="center"/>
    </xf>
    <xf numFmtId="1" fontId="27" fillId="0" borderId="0" xfId="2" applyNumberFormat="1" applyFont="1" applyBorder="1" applyAlignment="1" applyProtection="1">
      <alignment textRotation="90"/>
      <protection locked="0"/>
    </xf>
    <xf numFmtId="1" fontId="36" fillId="0" borderId="0" xfId="2" applyNumberFormat="1" applyFont="1" applyBorder="1" applyAlignment="1">
      <alignment horizontal="center"/>
    </xf>
    <xf numFmtId="0" fontId="27" fillId="0" borderId="0" xfId="2" applyNumberFormat="1" applyFont="1" applyBorder="1" applyAlignment="1" applyProtection="1">
      <protection locked="0"/>
    </xf>
    <xf numFmtId="0" fontId="28" fillId="0" borderId="44" xfId="2" applyFont="1" applyBorder="1"/>
    <xf numFmtId="0" fontId="20" fillId="8" borderId="44" xfId="2" applyFont="1" applyFill="1" applyBorder="1" applyAlignment="1">
      <alignment horizontal="left" vertical="center"/>
    </xf>
    <xf numFmtId="0" fontId="28" fillId="8" borderId="44" xfId="2" applyFont="1" applyFill="1" applyBorder="1" applyAlignment="1">
      <alignment horizontal="left" vertical="center"/>
    </xf>
    <xf numFmtId="0" fontId="20" fillId="0" borderId="44" xfId="2" applyFont="1" applyFill="1" applyBorder="1" applyAlignment="1">
      <alignment horizontal="left" vertical="center"/>
    </xf>
    <xf numFmtId="0" fontId="19" fillId="8" borderId="44" xfId="2" applyFill="1" applyBorder="1" applyAlignment="1">
      <alignment horizontal="center"/>
    </xf>
    <xf numFmtId="0" fontId="19" fillId="0" borderId="44" xfId="2" applyBorder="1"/>
    <xf numFmtId="1" fontId="34" fillId="0" borderId="44" xfId="2" applyNumberFormat="1" applyFont="1" applyBorder="1"/>
    <xf numFmtId="0" fontId="19" fillId="8" borderId="44" xfId="2" applyFill="1" applyBorder="1"/>
    <xf numFmtId="1" fontId="34" fillId="0" borderId="44" xfId="2" applyNumberFormat="1" applyFont="1" applyBorder="1" applyAlignment="1">
      <alignment horizontal="center"/>
    </xf>
    <xf numFmtId="0" fontId="20" fillId="0" borderId="44" xfId="2" applyFont="1" applyBorder="1" applyAlignment="1">
      <alignment horizontal="right" vertical="center"/>
    </xf>
    <xf numFmtId="0" fontId="19" fillId="0" borderId="0" xfId="2" applyAlignment="1">
      <alignment vertical="center"/>
    </xf>
    <xf numFmtId="0" fontId="37" fillId="0" borderId="0" xfId="2" applyFont="1" applyBorder="1" applyAlignment="1">
      <alignment horizontal="left" vertical="center"/>
    </xf>
    <xf numFmtId="0" fontId="19" fillId="8" borderId="0" xfId="2" applyFill="1" applyAlignment="1">
      <alignment horizontal="left" vertical="center"/>
    </xf>
    <xf numFmtId="0" fontId="19" fillId="8" borderId="0" xfId="2" applyFill="1" applyAlignment="1">
      <alignment vertical="center"/>
    </xf>
    <xf numFmtId="1" fontId="34" fillId="0" borderId="0" xfId="2" applyNumberFormat="1" applyFont="1" applyAlignment="1">
      <alignment vertical="center"/>
    </xf>
    <xf numFmtId="1" fontId="34" fillId="0" borderId="0" xfId="2" applyNumberFormat="1" applyFont="1" applyAlignment="1">
      <alignment horizontal="center" vertical="center"/>
    </xf>
    <xf numFmtId="0" fontId="19" fillId="0" borderId="0" xfId="2" applyBorder="1" applyAlignment="1">
      <alignment vertical="center"/>
    </xf>
    <xf numFmtId="0" fontId="20" fillId="31" borderId="0" xfId="2" applyFont="1" applyFill="1" applyBorder="1" applyAlignment="1">
      <alignment horizontal="right" vertical="center"/>
    </xf>
    <xf numFmtId="0" fontId="19" fillId="0" borderId="0" xfId="2"/>
    <xf numFmtId="0" fontId="19" fillId="0" borderId="0" xfId="2" applyAlignment="1">
      <alignment horizontal="left"/>
    </xf>
    <xf numFmtId="0" fontId="27" fillId="8" borderId="0" xfId="2" applyFont="1" applyFill="1" applyAlignment="1">
      <alignment vertical="center"/>
    </xf>
    <xf numFmtId="0" fontId="27" fillId="0" borderId="0" xfId="2" applyFont="1"/>
    <xf numFmtId="2" fontId="27" fillId="12" borderId="0" xfId="2" applyNumberFormat="1" applyFont="1" applyFill="1" applyAlignment="1">
      <alignment horizontal="center" textRotation="90"/>
    </xf>
    <xf numFmtId="0" fontId="27" fillId="0" borderId="0" xfId="2" applyFont="1" applyAlignment="1">
      <alignment horizontal="center" textRotation="90"/>
    </xf>
    <xf numFmtId="2" fontId="27" fillId="16" borderId="0" xfId="2" applyNumberFormat="1" applyFont="1" applyFill="1" applyAlignment="1">
      <alignment horizontal="center" textRotation="90"/>
    </xf>
    <xf numFmtId="2" fontId="27" fillId="22" borderId="0" xfId="2" applyNumberFormat="1" applyFont="1" applyFill="1" applyAlignment="1">
      <alignment horizontal="center" textRotation="90" wrapText="1"/>
    </xf>
    <xf numFmtId="0" fontId="27" fillId="8" borderId="0" xfId="2" applyFont="1" applyFill="1" applyAlignment="1">
      <alignment horizontal="center" textRotation="90"/>
    </xf>
    <xf numFmtId="0" fontId="19" fillId="6" borderId="0" xfId="2" applyFill="1"/>
    <xf numFmtId="2" fontId="19" fillId="6" borderId="0" xfId="2" applyNumberFormat="1" applyFill="1"/>
    <xf numFmtId="2" fontId="19" fillId="16" borderId="0" xfId="2" applyNumberFormat="1" applyFill="1"/>
    <xf numFmtId="2" fontId="19" fillId="22" borderId="0" xfId="2" applyNumberFormat="1" applyFill="1"/>
    <xf numFmtId="2" fontId="19" fillId="12" borderId="0" xfId="2" applyNumberFormat="1" applyFill="1"/>
    <xf numFmtId="0" fontId="19" fillId="5" borderId="0" xfId="2" applyFill="1"/>
    <xf numFmtId="2" fontId="19" fillId="5" borderId="0" xfId="2" applyNumberFormat="1" applyFill="1"/>
    <xf numFmtId="0" fontId="19" fillId="7" borderId="0" xfId="2" applyFill="1"/>
    <xf numFmtId="2" fontId="19" fillId="7" borderId="0" xfId="2" applyNumberFormat="1" applyFill="1"/>
    <xf numFmtId="0" fontId="27" fillId="25" borderId="0" xfId="2" applyFont="1" applyFill="1"/>
    <xf numFmtId="0" fontId="19" fillId="25" borderId="0" xfId="2" applyFill="1"/>
    <xf numFmtId="0" fontId="27" fillId="23" borderId="0" xfId="2" applyFont="1" applyFill="1"/>
    <xf numFmtId="0" fontId="19" fillId="23" borderId="0" xfId="2" applyFill="1"/>
    <xf numFmtId="164" fontId="27" fillId="11" borderId="0" xfId="2" applyNumberFormat="1" applyFont="1" applyFill="1"/>
    <xf numFmtId="164" fontId="27" fillId="22" borderId="0" xfId="2" applyNumberFormat="1" applyFont="1" applyFill="1"/>
    <xf numFmtId="164" fontId="27" fillId="19" borderId="0" xfId="2" applyNumberFormat="1" applyFont="1" applyFill="1"/>
    <xf numFmtId="164" fontId="27" fillId="24" borderId="0" xfId="2" applyNumberFormat="1" applyFont="1" applyFill="1"/>
    <xf numFmtId="164" fontId="27" fillId="10" borderId="0" xfId="2" applyNumberFormat="1" applyFont="1" applyFill="1"/>
    <xf numFmtId="164" fontId="27" fillId="17" borderId="0" xfId="2" applyNumberFormat="1" applyFont="1" applyFill="1"/>
    <xf numFmtId="164" fontId="27" fillId="6" borderId="0" xfId="2" applyNumberFormat="1" applyFont="1" applyFill="1"/>
    <xf numFmtId="164" fontId="27" fillId="23" borderId="0" xfId="2" applyNumberFormat="1" applyFont="1" applyFill="1"/>
    <xf numFmtId="164" fontId="19" fillId="11" borderId="0" xfId="2" applyNumberFormat="1" applyFill="1"/>
    <xf numFmtId="164" fontId="19" fillId="22" borderId="0" xfId="2" applyNumberFormat="1" applyFill="1"/>
    <xf numFmtId="164" fontId="19" fillId="19" borderId="0" xfId="2" applyNumberFormat="1" applyFill="1"/>
    <xf numFmtId="164" fontId="19" fillId="24" borderId="0" xfId="2" applyNumberFormat="1" applyFill="1"/>
    <xf numFmtId="164" fontId="19" fillId="10" borderId="0" xfId="2" applyNumberFormat="1" applyFill="1"/>
    <xf numFmtId="164" fontId="19" fillId="17" borderId="0" xfId="2" applyNumberFormat="1" applyFill="1"/>
    <xf numFmtId="164" fontId="19" fillId="6" borderId="0" xfId="2" applyNumberFormat="1" applyFill="1"/>
    <xf numFmtId="164" fontId="19" fillId="23" borderId="0" xfId="2" applyNumberFormat="1" applyFill="1"/>
    <xf numFmtId="0" fontId="19" fillId="25" borderId="0" xfId="2" applyFont="1" applyFill="1"/>
    <xf numFmtId="0" fontId="19" fillId="23" borderId="0" xfId="2" applyFont="1" applyFill="1"/>
    <xf numFmtId="164" fontId="19" fillId="11" borderId="0" xfId="2" applyNumberFormat="1" applyFont="1" applyFill="1"/>
    <xf numFmtId="164" fontId="19" fillId="22" borderId="0" xfId="2" applyNumberFormat="1" applyFont="1" applyFill="1"/>
    <xf numFmtId="164" fontId="19" fillId="19" borderId="0" xfId="2" applyNumberFormat="1" applyFont="1" applyFill="1"/>
    <xf numFmtId="164" fontId="19" fillId="24" borderId="0" xfId="2" applyNumberFormat="1" applyFont="1" applyFill="1"/>
    <xf numFmtId="164" fontId="19" fillId="10" borderId="0" xfId="2" applyNumberFormat="1" applyFont="1" applyFill="1"/>
    <xf numFmtId="164" fontId="19" fillId="17" borderId="0" xfId="2" applyNumberFormat="1" applyFont="1" applyFill="1"/>
    <xf numFmtId="164" fontId="19" fillId="6" borderId="0" xfId="2" applyNumberFormat="1" applyFont="1" applyFill="1"/>
    <xf numFmtId="164" fontId="19" fillId="23" borderId="0" xfId="2" applyNumberFormat="1" applyFont="1" applyFill="1"/>
    <xf numFmtId="1" fontId="19" fillId="11" borderId="0" xfId="2" applyNumberFormat="1" applyFont="1" applyFill="1"/>
    <xf numFmtId="1" fontId="19" fillId="22" borderId="0" xfId="2" applyNumberFormat="1" applyFont="1" applyFill="1"/>
    <xf numFmtId="1" fontId="19" fillId="19" borderId="0" xfId="2" applyNumberFormat="1" applyFont="1" applyFill="1"/>
    <xf numFmtId="1" fontId="19" fillId="24" borderId="0" xfId="2" applyNumberFormat="1" applyFont="1" applyFill="1"/>
    <xf numFmtId="1" fontId="19" fillId="10" borderId="0" xfId="2" applyNumberFormat="1" applyFont="1" applyFill="1"/>
    <xf numFmtId="1" fontId="19" fillId="17" borderId="0" xfId="2" applyNumberFormat="1" applyFont="1" applyFill="1"/>
    <xf numFmtId="1" fontId="19" fillId="6" borderId="0" xfId="2" applyNumberFormat="1" applyFont="1" applyFill="1"/>
    <xf numFmtId="1" fontId="19" fillId="23" borderId="0" xfId="2" applyNumberFormat="1" applyFont="1" applyFill="1"/>
    <xf numFmtId="49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wrapText="1"/>
    </xf>
    <xf numFmtId="49" fontId="0" fillId="0" borderId="0" xfId="0" applyNumberFormat="1" applyAlignment="1">
      <alignment wrapText="1"/>
    </xf>
    <xf numFmtId="49" fontId="0" fillId="0" borderId="0" xfId="0" applyNumberFormat="1" applyAlignment="1">
      <alignment horizontal="right"/>
    </xf>
    <xf numFmtId="0" fontId="0" fillId="19" borderId="0" xfId="0" applyFill="1"/>
    <xf numFmtId="0" fontId="0" fillId="33" borderId="0" xfId="0" applyFill="1"/>
    <xf numFmtId="2" fontId="0" fillId="19" borderId="0" xfId="0" applyNumberFormat="1" applyFill="1"/>
    <xf numFmtId="2" fontId="0" fillId="9" borderId="0" xfId="0" applyNumberFormat="1" applyFill="1"/>
    <xf numFmtId="2" fontId="0" fillId="22" borderId="0" xfId="0" applyNumberFormat="1" applyFill="1"/>
    <xf numFmtId="0" fontId="1" fillId="23" borderId="0" xfId="0" applyFont="1" applyFill="1" applyAlignment="1">
      <alignment vertical="center"/>
    </xf>
    <xf numFmtId="0" fontId="1" fillId="19" borderId="0" xfId="0" applyFont="1" applyFill="1" applyAlignment="1">
      <alignment vertical="center" wrapText="1"/>
    </xf>
    <xf numFmtId="0" fontId="1" fillId="9" borderId="0" xfId="0" applyFont="1" applyFill="1" applyAlignment="1">
      <alignment vertical="center" wrapText="1"/>
    </xf>
    <xf numFmtId="0" fontId="1" fillId="33" borderId="0" xfId="0" applyFont="1" applyFill="1" applyAlignment="1">
      <alignment vertical="center" wrapText="1"/>
    </xf>
    <xf numFmtId="0" fontId="40" fillId="0" borderId="0" xfId="0" applyFont="1" applyAlignment="1">
      <alignment vertical="center"/>
    </xf>
    <xf numFmtId="0" fontId="40" fillId="12" borderId="0" xfId="0" applyFont="1" applyFill="1" applyAlignment="1">
      <alignment vertical="center"/>
    </xf>
    <xf numFmtId="0" fontId="40" fillId="16" borderId="0" xfId="0" applyFont="1" applyFill="1" applyAlignment="1">
      <alignment vertical="center"/>
    </xf>
    <xf numFmtId="0" fontId="40" fillId="26" borderId="0" xfId="0" applyFont="1" applyFill="1" applyAlignment="1">
      <alignment vertical="center"/>
    </xf>
    <xf numFmtId="0" fontId="10" fillId="23" borderId="0" xfId="0" applyFont="1" applyFill="1"/>
    <xf numFmtId="0" fontId="40" fillId="8" borderId="0" xfId="0" applyFont="1" applyFill="1" applyAlignment="1">
      <alignment vertical="center"/>
    </xf>
    <xf numFmtId="0" fontId="41" fillId="0" borderId="0" xfId="0" applyFont="1"/>
    <xf numFmtId="0" fontId="41" fillId="25" borderId="0" xfId="0" applyFont="1" applyFill="1"/>
    <xf numFmtId="0" fontId="15" fillId="0" borderId="0" xfId="0" applyFont="1"/>
    <xf numFmtId="0" fontId="1" fillId="14" borderId="0" xfId="0" applyFont="1" applyFill="1" applyAlignment="1">
      <alignment horizontal="center" textRotation="90"/>
    </xf>
    <xf numFmtId="0" fontId="1" fillId="12" borderId="0" xfId="0" applyFont="1" applyFill="1" applyAlignment="1">
      <alignment horizontal="center" textRotation="90"/>
    </xf>
    <xf numFmtId="0" fontId="1" fillId="10" borderId="0" xfId="0" applyFont="1" applyFill="1" applyAlignment="1">
      <alignment horizontal="center" textRotation="90"/>
    </xf>
    <xf numFmtId="0" fontId="1" fillId="27" borderId="0" xfId="0" applyFont="1" applyFill="1" applyAlignment="1">
      <alignment horizontal="center" textRotation="90"/>
    </xf>
    <xf numFmtId="0" fontId="1" fillId="19" borderId="0" xfId="0" applyFont="1" applyFill="1" applyAlignment="1">
      <alignment horizontal="center" textRotation="90"/>
    </xf>
    <xf numFmtId="0" fontId="1" fillId="7" borderId="0" xfId="0" applyFont="1" applyFill="1" applyAlignment="1">
      <alignment horizontal="center" textRotation="90"/>
    </xf>
    <xf numFmtId="0" fontId="1" fillId="16" borderId="0" xfId="0" applyFont="1" applyFill="1" applyAlignment="1">
      <alignment horizontal="center" textRotation="90"/>
    </xf>
    <xf numFmtId="0" fontId="1" fillId="26" borderId="0" xfId="0" applyFont="1" applyFill="1" applyAlignment="1">
      <alignment horizontal="center" textRotation="90"/>
    </xf>
    <xf numFmtId="0" fontId="1" fillId="22" borderId="0" xfId="0" applyFont="1" applyFill="1" applyAlignment="1">
      <alignment horizontal="center" textRotation="90"/>
    </xf>
    <xf numFmtId="0" fontId="1" fillId="0" borderId="0" xfId="0" applyFont="1" applyAlignment="1">
      <alignment horizontal="center" textRotation="90"/>
    </xf>
    <xf numFmtId="0" fontId="0" fillId="14" borderId="0" xfId="0" applyFill="1"/>
    <xf numFmtId="1" fontId="0" fillId="14" borderId="0" xfId="0" applyNumberFormat="1" applyFill="1"/>
    <xf numFmtId="0" fontId="0" fillId="12" borderId="0" xfId="0" applyFill="1"/>
    <xf numFmtId="0" fontId="0" fillId="10" borderId="0" xfId="0" applyFill="1"/>
    <xf numFmtId="0" fontId="0" fillId="27" borderId="0" xfId="0" applyFill="1"/>
    <xf numFmtId="0" fontId="0" fillId="16" borderId="0" xfId="0" applyFill="1"/>
    <xf numFmtId="0" fontId="0" fillId="34" borderId="0" xfId="0" applyFill="1"/>
    <xf numFmtId="1" fontId="0" fillId="34" borderId="0" xfId="0" applyNumberFormat="1" applyFill="1"/>
    <xf numFmtId="0" fontId="10" fillId="0" borderId="0" xfId="0" applyFont="1"/>
    <xf numFmtId="0" fontId="38" fillId="0" borderId="0" xfId="2" applyFont="1" applyAlignment="1">
      <alignment vertical="top" wrapText="1"/>
    </xf>
    <xf numFmtId="0" fontId="37" fillId="0" borderId="0" xfId="2" applyFont="1" applyAlignment="1"/>
    <xf numFmtId="0" fontId="25" fillId="25" borderId="0" xfId="2" applyNumberFormat="1" applyFont="1" applyFill="1" applyBorder="1" applyAlignment="1" applyProtection="1">
      <alignment horizontal="center" textRotation="90"/>
      <protection locked="0"/>
    </xf>
    <xf numFmtId="0" fontId="27" fillId="8" borderId="0" xfId="2" applyNumberFormat="1" applyFont="1" applyFill="1" applyBorder="1" applyAlignment="1" applyProtection="1">
      <alignment horizontal="center" textRotation="90"/>
      <protection locked="0"/>
    </xf>
    <xf numFmtId="0" fontId="30" fillId="25" borderId="0" xfId="2" applyNumberFormat="1" applyFont="1" applyFill="1" applyBorder="1" applyAlignment="1" applyProtection="1">
      <alignment horizontal="center" vertical="center"/>
      <protection locked="0"/>
    </xf>
    <xf numFmtId="0" fontId="30" fillId="25" borderId="0" xfId="2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1" fillId="9" borderId="0" xfId="0" applyFont="1" applyFill="1" applyAlignment="1">
      <alignment horizontal="center" vertical="center"/>
    </xf>
    <xf numFmtId="0" fontId="16" fillId="27" borderId="0" xfId="0" applyFont="1" applyFill="1" applyAlignment="1">
      <alignment horizontal="center" vertical="center"/>
    </xf>
    <xf numFmtId="0" fontId="17" fillId="2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16" borderId="0" xfId="0" applyFont="1" applyFill="1" applyAlignment="1">
      <alignment horizontal="center"/>
    </xf>
    <xf numFmtId="0" fontId="1" fillId="23" borderId="45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/>
    </xf>
    <xf numFmtId="0" fontId="0" fillId="35" borderId="0" xfId="0" applyFill="1" applyAlignment="1">
      <alignment horizontal="center"/>
    </xf>
  </cellXfs>
  <cellStyles count="4">
    <cellStyle name="Footnote" xfId="3"/>
    <cellStyle name="Hyperlink" xfId="1" builtinId="8"/>
    <cellStyle name="Normal" xfId="0" builtinId="0"/>
    <cellStyle name="Normal 2" xfId="2"/>
  </cellStyles>
  <dxfs count="31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solid">
          <fgColor indexed="64"/>
          <bgColor theme="3" tint="0.79998168889431442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lor theme="0"/>
      </font>
      <fill>
        <patternFill patternType="solid">
          <fgColor indexed="64"/>
          <bgColor theme="3" tint="0.39994506668294322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lor theme="0"/>
      </font>
      <fill>
        <patternFill patternType="solid">
          <fgColor indexed="64"/>
          <bgColor rgb="FF00005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strike val="0"/>
      </font>
      <fill>
        <patternFill>
          <bgColor theme="0" tint="-0.24994659260841701"/>
        </patternFill>
      </fill>
    </dxf>
    <dxf>
      <font>
        <b/>
        <i val="0"/>
        <strike val="0"/>
        <color theme="0"/>
      </font>
      <fill>
        <patternFill>
          <bgColor theme="0" tint="-0.499984740745262"/>
        </patternFill>
      </fill>
    </dxf>
    <dxf>
      <font>
        <b/>
        <i val="0"/>
        <strike val="0"/>
      </font>
      <fill>
        <patternFill>
          <bgColor theme="0" tint="-4.9989318521683403E-2"/>
        </patternFill>
      </fill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 val="0"/>
        <i val="0"/>
      </font>
      <fill>
        <patternFill>
          <bgColor rgb="FFFFE6CB"/>
        </patternFill>
      </fill>
    </dxf>
    <dxf>
      <font>
        <b val="0"/>
        <i val="0"/>
      </font>
      <fill>
        <patternFill>
          <bgColor rgb="FFF9A367"/>
        </patternFill>
      </fill>
    </dxf>
    <dxf>
      <font>
        <b val="0"/>
        <i val="0"/>
        <color theme="0"/>
      </font>
      <fill>
        <patternFill>
          <bgColor rgb="FFC95A23"/>
        </patternFill>
      </fill>
    </dxf>
    <dxf>
      <font>
        <b val="0"/>
        <i val="0"/>
      </font>
      <fill>
        <patternFill>
          <bgColor theme="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2400"/>
              <a:t>Rank variability </a:t>
            </a:r>
          </a:p>
          <a:p>
            <a:pPr>
              <a:defRPr/>
            </a:pPr>
            <a:r>
              <a:rPr lang="en-US"/>
              <a:t>when the weight for school needs is varied</a:t>
            </a:r>
          </a:p>
        </c:rich>
      </c:tx>
    </c:title>
    <c:plotArea>
      <c:layout/>
      <c:stockChart>
        <c:ser>
          <c:idx val="0"/>
          <c:order val="0"/>
          <c:tx>
            <c:v>Maximum</c:v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F0000"/>
              </a:solidFill>
            </c:spPr>
          </c:marker>
          <c:cat>
            <c:strRef>
              <c:f>C_WeightExperim!$A$71:$A$86</c:f>
              <c:strCache>
                <c:ptCount val="16"/>
                <c:pt idx="0">
                  <c:v>Stung Treng</c:v>
                </c:pt>
                <c:pt idx="1">
                  <c:v>Preah Vihear</c:v>
                </c:pt>
                <c:pt idx="2">
                  <c:v>Kampot</c:v>
                </c:pt>
                <c:pt idx="3">
                  <c:v>Kratie</c:v>
                </c:pt>
                <c:pt idx="4">
                  <c:v>Phnom Penh</c:v>
                </c:pt>
                <c:pt idx="5">
                  <c:v>Takeo</c:v>
                </c:pt>
                <c:pt idx="6">
                  <c:v>Siem Riep</c:v>
                </c:pt>
                <c:pt idx="7">
                  <c:v>Battambang</c:v>
                </c:pt>
                <c:pt idx="8">
                  <c:v>Pursat</c:v>
                </c:pt>
                <c:pt idx="9">
                  <c:v>Svay Rieng</c:v>
                </c:pt>
                <c:pt idx="10">
                  <c:v>Banteay Meanchey</c:v>
                </c:pt>
                <c:pt idx="11">
                  <c:v>Kampong Thom</c:v>
                </c:pt>
                <c:pt idx="12">
                  <c:v>Kandal</c:v>
                </c:pt>
                <c:pt idx="13">
                  <c:v>Kampong Chhnang</c:v>
                </c:pt>
                <c:pt idx="14">
                  <c:v>Kampong Cham</c:v>
                </c:pt>
                <c:pt idx="15">
                  <c:v>Prey Veng</c:v>
                </c:pt>
              </c:strCache>
            </c:strRef>
          </c:cat>
          <c:val>
            <c:numRef>
              <c:f>C_WeightExperim!$D$71:$D$86</c:f>
              <c:numCache>
                <c:formatCode>General</c:formatCode>
                <c:ptCount val="16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</c:numCache>
            </c:numRef>
          </c:val>
        </c:ser>
        <c:ser>
          <c:idx val="1"/>
          <c:order val="1"/>
          <c:tx>
            <c:v>Minimum</c:v>
          </c:tx>
          <c:spPr>
            <a:ln w="28575">
              <a:noFill/>
            </a:ln>
          </c:spPr>
          <c:marker>
            <c:symbol val="dash"/>
            <c:size val="5"/>
          </c:marker>
          <c:cat>
            <c:strRef>
              <c:f>C_WeightExperim!$A$71:$A$86</c:f>
              <c:strCache>
                <c:ptCount val="16"/>
                <c:pt idx="0">
                  <c:v>Stung Treng</c:v>
                </c:pt>
                <c:pt idx="1">
                  <c:v>Preah Vihear</c:v>
                </c:pt>
                <c:pt idx="2">
                  <c:v>Kampot</c:v>
                </c:pt>
                <c:pt idx="3">
                  <c:v>Kratie</c:v>
                </c:pt>
                <c:pt idx="4">
                  <c:v>Phnom Penh</c:v>
                </c:pt>
                <c:pt idx="5">
                  <c:v>Takeo</c:v>
                </c:pt>
                <c:pt idx="6">
                  <c:v>Siem Riep</c:v>
                </c:pt>
                <c:pt idx="7">
                  <c:v>Battambang</c:v>
                </c:pt>
                <c:pt idx="8">
                  <c:v>Pursat</c:v>
                </c:pt>
                <c:pt idx="9">
                  <c:v>Svay Rieng</c:v>
                </c:pt>
                <c:pt idx="10">
                  <c:v>Banteay Meanchey</c:v>
                </c:pt>
                <c:pt idx="11">
                  <c:v>Kampong Thom</c:v>
                </c:pt>
                <c:pt idx="12">
                  <c:v>Kandal</c:v>
                </c:pt>
                <c:pt idx="13">
                  <c:v>Kampong Chhnang</c:v>
                </c:pt>
                <c:pt idx="14">
                  <c:v>Kampong Cham</c:v>
                </c:pt>
                <c:pt idx="15">
                  <c:v>Prey Veng</c:v>
                </c:pt>
              </c:strCache>
            </c:strRef>
          </c:cat>
          <c:val>
            <c:numRef>
              <c:f>C_WeightExperim!$C$71:$C$86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8</c:v>
                </c:pt>
                <c:pt idx="11">
                  <c:v>12</c:v>
                </c:pt>
                <c:pt idx="12">
                  <c:v>11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</c:numCache>
            </c:numRef>
          </c:val>
        </c:ser>
        <c:ser>
          <c:idx val="2"/>
          <c:order val="2"/>
          <c:tx>
            <c:v>Default setting</c:v>
          </c:tx>
          <c:spPr>
            <a:ln w="28575">
              <a:noFill/>
            </a:ln>
          </c:spPr>
          <c:marker>
            <c:symbol val="circle"/>
            <c:size val="8"/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</c:trendline>
          <c:cat>
            <c:strRef>
              <c:f>C_WeightExperim!$A$71:$A$86</c:f>
              <c:strCache>
                <c:ptCount val="16"/>
                <c:pt idx="0">
                  <c:v>Stung Treng</c:v>
                </c:pt>
                <c:pt idx="1">
                  <c:v>Preah Vihear</c:v>
                </c:pt>
                <c:pt idx="2">
                  <c:v>Kampot</c:v>
                </c:pt>
                <c:pt idx="3">
                  <c:v>Kratie</c:v>
                </c:pt>
                <c:pt idx="4">
                  <c:v>Phnom Penh</c:v>
                </c:pt>
                <c:pt idx="5">
                  <c:v>Takeo</c:v>
                </c:pt>
                <c:pt idx="6">
                  <c:v>Siem Riep</c:v>
                </c:pt>
                <c:pt idx="7">
                  <c:v>Battambang</c:v>
                </c:pt>
                <c:pt idx="8">
                  <c:v>Pursat</c:v>
                </c:pt>
                <c:pt idx="9">
                  <c:v>Svay Rieng</c:v>
                </c:pt>
                <c:pt idx="10">
                  <c:v>Banteay Meanchey</c:v>
                </c:pt>
                <c:pt idx="11">
                  <c:v>Kampong Thom</c:v>
                </c:pt>
                <c:pt idx="12">
                  <c:v>Kandal</c:v>
                </c:pt>
                <c:pt idx="13">
                  <c:v>Kampong Chhnang</c:v>
                </c:pt>
                <c:pt idx="14">
                  <c:v>Kampong Cham</c:v>
                </c:pt>
                <c:pt idx="15">
                  <c:v>Prey Veng</c:v>
                </c:pt>
              </c:strCache>
            </c:strRef>
          </c:cat>
          <c:val>
            <c:numRef>
              <c:f>C_WeightExperim!$B$71:$B$86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val>
        </c:ser>
        <c:hiLowLines/>
        <c:axId val="69375104"/>
        <c:axId val="69377024"/>
      </c:stockChart>
      <c:catAx>
        <c:axId val="69375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Flood-affected provinces</a:t>
                </a:r>
              </a:p>
            </c:rich>
          </c:tx>
        </c:title>
        <c:tickLblPos val="nextTo"/>
        <c:crossAx val="69377024"/>
        <c:crosses val="autoZero"/>
        <c:auto val="1"/>
        <c:lblAlgn val="ctr"/>
        <c:lblOffset val="100"/>
      </c:catAx>
      <c:valAx>
        <c:axId val="69377024"/>
        <c:scaling>
          <c:orientation val="minMax"/>
          <c:max val="16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Rank on the total impact measure</a:t>
                </a:r>
              </a:p>
            </c:rich>
          </c:tx>
        </c:title>
        <c:numFmt formatCode="General" sourceLinked="1"/>
        <c:tickLblPos val="nextTo"/>
        <c:crossAx val="69375104"/>
        <c:crosses val="autoZero"/>
        <c:crossBetween val="between"/>
      </c:valAx>
    </c:plotArea>
    <c:legend>
      <c:legendPos val="r"/>
      <c:legendEntry>
        <c:idx val="3"/>
        <c:delete val="1"/>
      </c:legendEntry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73025</xdr:colOff>
      <xdr:row>155</xdr:row>
      <xdr:rowOff>139700</xdr:rowOff>
    </xdr:from>
    <xdr:to>
      <xdr:col>24</xdr:col>
      <xdr:colOff>130175</xdr:colOff>
      <xdr:row>159</xdr:row>
      <xdr:rowOff>19050</xdr:rowOff>
    </xdr:to>
    <xdr:pic>
      <xdr:nvPicPr>
        <xdr:cNvPr id="2" name="Picture 1" descr="Maplecroft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009" t="11039" r="3711" b="11039"/>
        <a:stretch>
          <a:fillRect/>
        </a:stretch>
      </xdr:blipFill>
      <xdr:spPr>
        <a:xfrm>
          <a:off x="5711825" y="26400125"/>
          <a:ext cx="1800225" cy="4413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</xdr:row>
      <xdr:rowOff>0</xdr:rowOff>
    </xdr:from>
    <xdr:to>
      <xdr:col>1</xdr:col>
      <xdr:colOff>795453</xdr:colOff>
      <xdr:row>2</xdr:row>
      <xdr:rowOff>209550</xdr:rowOff>
    </xdr:to>
    <xdr:pic>
      <xdr:nvPicPr>
        <xdr:cNvPr id="3" name="Picture 2" descr="OCHA ROAP_blu_neg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24925"/>
        <a:stretch>
          <a:fillRect/>
        </a:stretch>
      </xdr:blipFill>
      <xdr:spPr>
        <a:xfrm>
          <a:off x="209551" y="504825"/>
          <a:ext cx="795452" cy="20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37</xdr:row>
      <xdr:rowOff>114300</xdr:rowOff>
    </xdr:from>
    <xdr:to>
      <xdr:col>16</xdr:col>
      <xdr:colOff>619125</xdr:colOff>
      <xdr:row>47</xdr:row>
      <xdr:rowOff>231775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58600" y="9258300"/>
          <a:ext cx="2041525" cy="20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177800</xdr:colOff>
      <xdr:row>70</xdr:row>
      <xdr:rowOff>0</xdr:rowOff>
    </xdr:from>
    <xdr:to>
      <xdr:col>13</xdr:col>
      <xdr:colOff>165100</xdr:colOff>
      <xdr:row>92</xdr:row>
      <xdr:rowOff>177800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29</xdr:row>
      <xdr:rowOff>0</xdr:rowOff>
    </xdr:from>
    <xdr:to>
      <xdr:col>11</xdr:col>
      <xdr:colOff>304800</xdr:colOff>
      <xdr:row>46</xdr:row>
      <xdr:rowOff>114300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7525" y="6696075"/>
          <a:ext cx="4572000" cy="335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190500</xdr:rowOff>
    </xdr:from>
    <xdr:to>
      <xdr:col>3</xdr:col>
      <xdr:colOff>1047749</xdr:colOff>
      <xdr:row>0</xdr:row>
      <xdr:rowOff>685800</xdr:rowOff>
    </xdr:to>
    <xdr:sp macro="" textlink="">
      <xdr:nvSpPr>
        <xdr:cNvPr id="2" name="TextBox 1"/>
        <xdr:cNvSpPr txBox="1"/>
      </xdr:nvSpPr>
      <xdr:spPr>
        <a:xfrm>
          <a:off x="161924" y="190500"/>
          <a:ext cx="3648075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>
              <a:solidFill>
                <a:srgbClr val="FF0000"/>
              </a:solidFill>
            </a:rPr>
            <a:t>Do not re-sort this table. It is for illustration only. Currently sorted on the original ranking of impacts.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do Benini" refreshedDate="41010.612542476854" createdVersion="3" refreshedVersion="3" minRefreshableVersion="3" recordCount="18">
  <cacheSource type="worksheet">
    <worksheetSource name="_xlnm.Database"/>
  </cacheSource>
  <cacheFields count="24">
    <cacheField name="Province" numFmtId="0">
      <sharedItems/>
    </cacheField>
    <cacheField name="Affected households (NCDM)" numFmtId="0">
      <sharedItems containsSemiMixedTypes="0" containsString="0" containsNumber="1" containsInteger="1" minValue="258" maxValue="72047"/>
    </cacheField>
    <cacheField name="Hhdisplaced" numFmtId="0">
      <sharedItems containsString="0" containsBlank="1" containsNumber="1" containsInteger="1" minValue="0" maxValue="11534"/>
    </cacheField>
    <cacheField name="ShareDisplaced" numFmtId="164">
      <sharedItems containsString="0" containsBlank="1" containsNumber="1" minValue="0" maxValue="0.22355312633251928"/>
    </cacheField>
    <cacheField name="RiceHHdamaged" numFmtId="0">
      <sharedItems containsString="0" containsBlank="1" containsNumber="1" containsInteger="1" minValue="0" maxValue="47268"/>
    </cacheField>
    <cacheField name="ShareRiceDamag" numFmtId="164">
      <sharedItems containsString="0" containsBlank="1" containsNumber="1" minValue="0" maxValue="0.28893303585072894"/>
    </cacheField>
    <cacheField name="HealthCentAff" numFmtId="0">
      <sharedItems containsString="0" containsBlank="1" containsNumber="1" containsInteger="1" minValue="4" maxValue="61"/>
    </cacheField>
    <cacheField name="ShareHCAffect" numFmtId="164">
      <sharedItems containsString="0" containsBlank="1" containsNumber="1" minValue="1.06951871657754E-2" maxValue="0.16310160427807488"/>
    </cacheField>
    <cacheField name="SchoolsAffect" numFmtId="0">
      <sharedItems containsString="0" containsBlank="1" containsNumber="1" containsInteger="1" minValue="0" maxValue="231"/>
    </cacheField>
    <cacheField name="ShareSchoolsAff" numFmtId="164">
      <sharedItems containsString="0" containsBlank="1" containsNumber="1" minValue="0" maxValue="0.16488222698072805"/>
    </cacheField>
    <cacheField name="SchoolFurniture" numFmtId="0">
      <sharedItems containsString="0" containsBlank="1" containsNumber="1" containsInteger="1" minValue="0" maxValue="2285"/>
    </cacheField>
    <cacheField name="ShareSchoolFurn" numFmtId="164">
      <sharedItems containsString="0" containsBlank="1" containsNumber="1" minValue="0" maxValue="0.22985615129262649"/>
    </cacheField>
    <cacheField name="SchoolPacks" numFmtId="0">
      <sharedItems containsString="0" containsBlank="1" containsNumber="1" containsInteger="1" minValue="0" maxValue="90"/>
    </cacheField>
    <cacheField name="ShareSchoolPacks" numFmtId="164">
      <sharedItems containsString="0" containsBlank="1" containsNumber="1" minValue="0" maxValue="0.17142857142857143"/>
    </cacheField>
    <cacheField name="SchoolTextbooks" numFmtId="0">
      <sharedItems containsString="0" containsBlank="1" containsNumber="1" containsInteger="1" minValue="0" maxValue="43849"/>
    </cacheField>
    <cacheField name="ShareSchoolTextB" numFmtId="164">
      <sharedItems containsString="0" containsBlank="1" containsNumber="1" minValue="0" maxValue="0.35576415989874488"/>
    </cacheField>
    <cacheField name="ShareEducDamage" numFmtId="164">
      <sharedItems containsString="0" containsBlank="1" containsNumber="1" minValue="0" maxValue="0.20092105611140951"/>
    </cacheField>
    <cacheField name="CompositeMeasure" numFmtId="164">
      <sharedItems containsString="0" containsBlank="1" containsNumber="1" minValue="3.7640398429614683E-3" maxValue="0.18766943292025789"/>
    </cacheField>
    <cacheField name="RankComposite" numFmtId="0">
      <sharedItems containsString="0" containsBlank="1" containsNumber="1" containsInteger="1" minValue="1" maxValue="16"/>
    </cacheField>
    <cacheField name="Rank (UNOCHA-calcul.)" numFmtId="0">
      <sharedItems containsString="0" containsBlank="1" containsNumber="1" minValue="0" maxValue="0.2"/>
    </cacheField>
    <cacheField name="Household impact" numFmtId="164">
      <sharedItems containsString="0" containsBlank="1" containsNumber="1" minValue="2.1804861030352367E-3" maxValue="0.24357687959532609"/>
    </cacheField>
    <cacheField name="Service disruption" numFmtId="164">
      <sharedItems containsString="0" containsBlank="1" containsNumber="1" minValue="5.3475935828877002E-3" maxValue="0.15463362685934798"/>
    </cacheField>
    <cacheField name="High HH impact" numFmtId="0">
      <sharedItems containsString="0" containsBlank="1" containsNumber="1" containsInteger="1" minValue="0" maxValue="1" count="3">
        <n v="1"/>
        <n v="0"/>
        <m/>
      </sharedItems>
    </cacheField>
    <cacheField name="High service disruption" numFmtId="0">
      <sharedItems containsString="0" containsBlank="1" containsNumber="1" containsInteger="1" minValue="0" maxValue="1" count="3">
        <n v="1"/>
        <n v="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s v="Banteay Meanchey"/>
    <n v="13008"/>
    <n v="5372"/>
    <n v="0.10412063418226926"/>
    <n v="18894"/>
    <n v="0.11549252727772853"/>
    <n v="46"/>
    <n v="0.12299465240641712"/>
    <n v="132"/>
    <n v="9.421841541755889E-2"/>
    <n v="269"/>
    <n v="2.7059651946484256E-2"/>
    <n v="0"/>
    <n v="0"/>
    <n v="287"/>
    <n v="2.3285437271303739E-3"/>
    <n v="9.7960652245382088E-3"/>
    <n v="8.8100969772738277E-2"/>
    <n v="11"/>
    <n v="0.11"/>
    <n v="0.1098065807299989"/>
    <n v="0.108606533911988"/>
    <x v="0"/>
    <x v="0"/>
  </r>
  <r>
    <s v="Battambang"/>
    <n v="13921"/>
    <n v="1194"/>
    <n v="2.3142225840213977E-2"/>
    <n v="0"/>
    <n v="0"/>
    <n v="21"/>
    <n v="5.6149732620320858E-2"/>
    <n v="81"/>
    <n v="5.7815845824411134E-2"/>
    <n v="1079"/>
    <n v="0.1085403882909164"/>
    <n v="45"/>
    <n v="8.5714285714285715E-2"/>
    <n v="8900"/>
    <n v="7.2209195719373967E-2"/>
    <n v="8.8821289908192033E-2"/>
    <n v="4.2028312092181719E-2"/>
    <n v="8"/>
    <n v="0.04"/>
    <n v="1.1571112920106989E-2"/>
    <n v="5.6982789222365993E-2"/>
    <x v="1"/>
    <x v="1"/>
  </r>
  <r>
    <s v="Kampong Cham"/>
    <n v="33436"/>
    <n v="6085"/>
    <n v="0.11794007055083924"/>
    <n v="22668"/>
    <n v="0.13856169198325133"/>
    <n v="54"/>
    <n v="0.14438502673796791"/>
    <n v="231"/>
    <n v="0.16488222698072805"/>
    <n v="2285"/>
    <n v="0.22985615129262649"/>
    <n v="9"/>
    <n v="1.7142857142857144E-2"/>
    <n v="43849"/>
    <n v="0.35576415989874488"/>
    <n v="0.20092105611140951"/>
    <n v="0.150451961345867"/>
    <n v="15"/>
    <n v="0.12"/>
    <n v="0.12825088126704529"/>
    <n v="0.15463362685934798"/>
    <x v="0"/>
    <x v="0"/>
  </r>
  <r>
    <s v="Kampong Chhnang"/>
    <n v="11534"/>
    <n v="11534"/>
    <n v="0.22355312633251928"/>
    <n v="11166"/>
    <n v="6.8253919740823371E-2"/>
    <n v="19"/>
    <n v="5.0802139037433157E-2"/>
    <n v="84"/>
    <n v="5.9957173447537475E-2"/>
    <n v="515"/>
    <n v="5.1805653354793278E-2"/>
    <n v="69"/>
    <n v="0.13142857142857142"/>
    <n v="16728"/>
    <n v="0.13572083438131324"/>
    <n v="0.10631835305489264"/>
    <n v="0.1122318845414171"/>
    <n v="14"/>
    <n v="0.12"/>
    <n v="0.14590352303667131"/>
    <n v="5.5379656242485316E-2"/>
    <x v="0"/>
    <x v="1"/>
  </r>
  <r>
    <s v="Kampong Thom"/>
    <n v="54414"/>
    <n v="2448"/>
    <n v="4.7447377602046752E-2"/>
    <n v="28701"/>
    <n v="0.175439347168312"/>
    <n v="13"/>
    <n v="3.4759358288770054E-2"/>
    <n v="107"/>
    <n v="7.6374018558172732E-2"/>
    <n v="526"/>
    <n v="5.2912181873051002E-2"/>
    <n v="81"/>
    <n v="0.15428571428571428"/>
    <n v="12655"/>
    <n v="0.10267498559872781"/>
    <n v="0.10329096058583102"/>
    <n v="9.0234260911239969E-2"/>
    <n v="12"/>
    <n v="0.09"/>
    <n v="0.11144336238517938"/>
    <n v="5.5566688423471393E-2"/>
    <x v="0"/>
    <x v="1"/>
  </r>
  <r>
    <s v="Kampot"/>
    <n v="8245"/>
    <n v="767"/>
    <n v="1.4866069698026903E-2"/>
    <n v="0"/>
    <n v="0"/>
    <n v="4"/>
    <n v="1.06951871657754E-2"/>
    <n v="16"/>
    <n v="1.1420413990007138E-2"/>
    <n v="122"/>
    <n v="1.2272407202494718E-2"/>
    <n v="3"/>
    <n v="5.7142857142857143E-3"/>
    <n v="2710"/>
    <n v="2.1987294426910501E-2"/>
    <n v="1.3324662447896977E-2"/>
    <n v="9.7214798279248206E-3"/>
    <n v="3"/>
    <n v="0.02"/>
    <n v="7.4330348490134514E-3"/>
    <n v="1.1057800577891269E-2"/>
    <x v="1"/>
    <x v="1"/>
  </r>
  <r>
    <s v="Kandal"/>
    <n v="72047"/>
    <n v="2180"/>
    <n v="4.2252975152149472E-2"/>
    <n v="5770"/>
    <n v="3.5270026590054709E-2"/>
    <n v="57"/>
    <n v="0.15240641711229946"/>
    <n v="212"/>
    <n v="0.15132048536759457"/>
    <n v="1955"/>
    <n v="0.19666029574489488"/>
    <n v="75"/>
    <n v="0.14285714285714285"/>
    <n v="13570"/>
    <n v="0.11009873999010165"/>
    <n v="0.14987205953071314"/>
    <n v="9.4950369596304193E-2"/>
    <n v="13"/>
    <n v="0.06"/>
    <n v="3.8761500871102091E-2"/>
    <n v="0.15186345123994702"/>
    <x v="1"/>
    <x v="0"/>
  </r>
  <r>
    <s v="Kratie"/>
    <n v="15601"/>
    <n v="1403"/>
    <n v="2.7193084467186109E-2"/>
    <n v="0"/>
    <n v="0"/>
    <n v="16"/>
    <n v="4.2780748663101602E-2"/>
    <n v="102"/>
    <n v="7.2805139186295498E-2"/>
    <n v="298"/>
    <n v="2.9976863494618249E-2"/>
    <n v="0"/>
    <n v="0"/>
    <n v="1439"/>
    <n v="1.1675172206761701E-2"/>
    <n v="1.3884011900459984E-2"/>
    <n v="2.0964461257686924E-2"/>
    <n v="4"/>
    <n v="0.08"/>
    <n v="1.3596542233593054E-2"/>
    <n v="5.7792943924698553E-2"/>
    <x v="1"/>
    <x v="1"/>
  </r>
  <r>
    <s v="Otdar Meanchey"/>
    <n v="716"/>
    <m/>
    <m/>
    <m/>
    <m/>
    <m/>
    <m/>
    <m/>
    <m/>
    <m/>
    <m/>
    <m/>
    <m/>
    <m/>
    <m/>
    <m/>
    <m/>
    <m/>
    <m/>
    <m/>
    <m/>
    <x v="2"/>
    <x v="2"/>
  </r>
  <r>
    <s v="Pailin "/>
    <n v="258"/>
    <m/>
    <m/>
    <m/>
    <m/>
    <m/>
    <m/>
    <m/>
    <m/>
    <m/>
    <m/>
    <m/>
    <m/>
    <m/>
    <m/>
    <m/>
    <m/>
    <m/>
    <m/>
    <m/>
    <m/>
    <x v="2"/>
    <x v="2"/>
  </r>
  <r>
    <s v="Phnom Penh"/>
    <n v="17150"/>
    <n v="3017"/>
    <n v="5.8475791758731632E-2"/>
    <n v="681"/>
    <n v="4.1627189095021239E-3"/>
    <n v="7"/>
    <n v="1.871657754010695E-2"/>
    <n v="22"/>
    <n v="1.5703069236259814E-2"/>
    <n v="160"/>
    <n v="1.6094960265566845E-2"/>
    <n v="0"/>
    <n v="0"/>
    <n v="0"/>
    <n v="0"/>
    <n v="5.3649867551889482E-3"/>
    <n v="2.1680018740882413E-2"/>
    <n v="5"/>
    <n v="0.02"/>
    <n v="3.1319255334116877E-2"/>
    <n v="1.720982338818338E-2"/>
    <x v="1"/>
    <x v="1"/>
  </r>
  <r>
    <s v="Preah Vihear"/>
    <n v="5199"/>
    <n v="665"/>
    <n v="1.2889095631274954E-2"/>
    <n v="0"/>
    <n v="0"/>
    <n v="6"/>
    <n v="1.6042780748663103E-2"/>
    <n v="1"/>
    <n v="7.1377587437544611E-4"/>
    <n v="0"/>
    <n v="0"/>
    <n v="0"/>
    <n v="0"/>
    <n v="0"/>
    <n v="0"/>
    <n v="0"/>
    <n v="7.2329690949845139E-3"/>
    <n v="2"/>
    <n v="0.01"/>
    <n v="6.444547815637477E-3"/>
    <n v="8.3782783115192751E-3"/>
    <x v="1"/>
    <x v="1"/>
  </r>
  <r>
    <s v="Prey Veng"/>
    <n v="40615"/>
    <n v="10227"/>
    <n v="0.19822072333992324"/>
    <n v="47268"/>
    <n v="0.28893303585072894"/>
    <n v="61"/>
    <n v="0.16310160427807488"/>
    <n v="182"/>
    <n v="0.12990720913633119"/>
    <n v="911"/>
    <n v="9.1640680012071221E-2"/>
    <n v="90"/>
    <n v="0.17142857142857143"/>
    <n v="4708"/>
    <n v="3.8197853196271087E-2"/>
    <n v="0.10042236821230459"/>
    <n v="0.18766943292025789"/>
    <n v="16"/>
    <n v="0.2"/>
    <n v="0.24357687959532609"/>
    <n v="0.14650440670720305"/>
    <x v="0"/>
    <x v="0"/>
  </r>
  <r>
    <s v="Pursat"/>
    <n v="12982"/>
    <n v="1591"/>
    <n v="3.0836919021591656E-2"/>
    <n v="0"/>
    <n v="0"/>
    <n v="14"/>
    <n v="3.7433155080213901E-2"/>
    <n v="29"/>
    <n v="2.0699500356887938E-2"/>
    <n v="710"/>
    <n v="7.1421386178452867E-2"/>
    <n v="84"/>
    <n v="0.16"/>
    <n v="10738"/>
    <n v="8.7121611644341318E-2"/>
    <n v="0.10618099927426472"/>
    <n v="4.3612768344017568E-2"/>
    <n v="9"/>
    <n v="0.03"/>
    <n v="1.5418459510795828E-2"/>
    <n v="2.906632771855092E-2"/>
    <x v="1"/>
    <x v="1"/>
  </r>
  <r>
    <s v="Siem Riep"/>
    <n v="23198"/>
    <n v="0"/>
    <n v="0"/>
    <n v="15120"/>
    <n v="9.242336257220575E-2"/>
    <n v="25"/>
    <n v="6.684491978609626E-2"/>
    <n v="129"/>
    <n v="9.2077087794432549E-2"/>
    <n v="184"/>
    <n v="1.8509204305401872E-2"/>
    <n v="0"/>
    <n v="0"/>
    <n v="796"/>
    <n v="6.4582606508563683E-3"/>
    <n v="8.3224883187527476E-3"/>
    <n v="4.1897692669263686E-2"/>
    <n v="7"/>
    <n v="0.08"/>
    <n v="4.6211681286102875E-2"/>
    <n v="7.9461003790264412E-2"/>
    <x v="1"/>
    <x v="1"/>
  </r>
  <r>
    <s v="Stung Treng"/>
    <n v="3005"/>
    <n v="225"/>
    <n v="4.3609722060704735E-3"/>
    <n v="0"/>
    <n v="0"/>
    <n v="4"/>
    <n v="1.06951871657754E-2"/>
    <n v="0"/>
    <n v="0"/>
    <n v="0"/>
    <n v="0"/>
    <n v="0"/>
    <n v="0"/>
    <n v="0"/>
    <n v="0"/>
    <n v="0"/>
    <n v="3.7640398429614683E-3"/>
    <n v="1"/>
    <n v="0"/>
    <n v="2.1804861030352367E-3"/>
    <n v="5.3475935828877002E-3"/>
    <x v="1"/>
    <x v="1"/>
  </r>
  <r>
    <s v="Svay Rieng"/>
    <n v="17076"/>
    <n v="4160"/>
    <n v="8.0629530565569638E-2"/>
    <n v="7761"/>
    <n v="4.7440325193312753E-2"/>
    <n v="14"/>
    <n v="3.7433155080213901E-2"/>
    <n v="24"/>
    <n v="1.7130620985010708E-2"/>
    <n v="184"/>
    <n v="1.8509204305401872E-2"/>
    <n v="0"/>
    <n v="0"/>
    <n v="2667"/>
    <n v="2.1638418537479817E-2"/>
    <n v="1.338254094762723E-2"/>
    <n v="4.4721387946680881E-2"/>
    <n v="10"/>
    <n v="0.05"/>
    <n v="6.4034927879441192E-2"/>
    <n v="2.7281888032612306E-2"/>
    <x v="1"/>
    <x v="1"/>
  </r>
  <r>
    <s v="Takeo"/>
    <n v="7869"/>
    <n v="726"/>
    <n v="1.4071403651587393E-2"/>
    <n v="5566"/>
    <n v="3.4023044714080505E-2"/>
    <n v="12"/>
    <n v="3.2085561497326207E-2"/>
    <n v="49"/>
    <n v="3.4975017844396862E-2"/>
    <n v="743"/>
    <n v="7.4740971733226039E-2"/>
    <n v="69"/>
    <n v="0.13142857142857142"/>
    <n v="4206"/>
    <n v="3.4124930021987292E-2"/>
    <n v="8.0098157727928262E-2"/>
    <n v="4.0069541897730591E-2"/>
    <n v="6"/>
    <n v="0.03"/>
    <n v="2.4047224182833948E-2"/>
    <n v="3.3530289670861538E-2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D9" firstHeaderRow="1" firstDataRow="2" firstDataCol="2"/>
  <pivotFields count="24"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 defaultSubtotal="0">
      <items count="3">
        <item x="2"/>
        <item x="0"/>
        <item x="1"/>
      </items>
    </pivotField>
    <pivotField axis="axisRow" compact="0" outline="0" showAll="0" sortType="descending">
      <items count="4">
        <item h="1" x="2"/>
        <item x="0"/>
        <item x="1"/>
        <item t="default"/>
      </items>
    </pivotField>
  </pivotFields>
  <rowFields count="2">
    <field x="22"/>
    <field x="23"/>
  </rowFields>
  <rowItems count="5">
    <i>
      <x v="1"/>
      <x v="1"/>
    </i>
    <i r="1">
      <x v="2"/>
    </i>
    <i>
      <x v="2"/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Province" fld="0" subtotal="count" baseField="0" baseItem="0"/>
    <dataField name="Sum of Affected households (NCDM)" fld="1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B27"/>
  <sheetViews>
    <sheetView tabSelected="1" workbookViewId="0"/>
  </sheetViews>
  <sheetFormatPr defaultRowHeight="15"/>
  <cols>
    <col min="1" max="1" width="26.42578125" customWidth="1"/>
    <col min="2" max="2" width="90.85546875" customWidth="1"/>
  </cols>
  <sheetData>
    <row r="1" spans="1:2" ht="23.25">
      <c r="A1" s="389" t="s">
        <v>114</v>
      </c>
    </row>
    <row r="4" spans="1:2" ht="15.75">
      <c r="A4" s="391" t="s">
        <v>567</v>
      </c>
    </row>
    <row r="5" spans="1:2">
      <c r="A5" s="65" t="s">
        <v>566</v>
      </c>
      <c r="B5" t="s">
        <v>571</v>
      </c>
    </row>
    <row r="6" spans="1:2">
      <c r="A6" s="65"/>
    </row>
    <row r="7" spans="1:2" ht="15.75">
      <c r="A7" s="391" t="s">
        <v>568</v>
      </c>
    </row>
    <row r="8" spans="1:2">
      <c r="A8" s="65" t="s">
        <v>520</v>
      </c>
      <c r="B8" t="s">
        <v>572</v>
      </c>
    </row>
    <row r="9" spans="1:2">
      <c r="A9" s="65" t="s">
        <v>521</v>
      </c>
      <c r="B9" t="s">
        <v>573</v>
      </c>
    </row>
    <row r="10" spans="1:2">
      <c r="A10" s="65" t="s">
        <v>522</v>
      </c>
      <c r="B10" t="s">
        <v>574</v>
      </c>
    </row>
    <row r="11" spans="1:2">
      <c r="A11" s="65" t="s">
        <v>523</v>
      </c>
      <c r="B11" t="s">
        <v>663</v>
      </c>
    </row>
    <row r="12" spans="1:2">
      <c r="A12" s="65"/>
    </row>
    <row r="13" spans="1:2" ht="15.75">
      <c r="A13" s="391" t="s">
        <v>569</v>
      </c>
    </row>
    <row r="14" spans="1:2">
      <c r="A14" s="65" t="s">
        <v>524</v>
      </c>
      <c r="B14" t="s">
        <v>572</v>
      </c>
    </row>
    <row r="15" spans="1:2">
      <c r="A15" s="65" t="s">
        <v>525</v>
      </c>
      <c r="B15" t="s">
        <v>661</v>
      </c>
    </row>
    <row r="16" spans="1:2">
      <c r="A16" s="65" t="s">
        <v>526</v>
      </c>
      <c r="B16" t="s">
        <v>575</v>
      </c>
    </row>
    <row r="17" spans="1:2">
      <c r="A17" s="65" t="s">
        <v>527</v>
      </c>
      <c r="B17" t="s">
        <v>574</v>
      </c>
    </row>
    <row r="18" spans="1:2">
      <c r="A18" s="65" t="s">
        <v>528</v>
      </c>
      <c r="B18" t="s">
        <v>664</v>
      </c>
    </row>
    <row r="19" spans="1:2">
      <c r="A19" s="65" t="s">
        <v>529</v>
      </c>
      <c r="B19" t="s">
        <v>576</v>
      </c>
    </row>
    <row r="20" spans="1:2">
      <c r="A20" s="65" t="s">
        <v>530</v>
      </c>
      <c r="B20" t="s">
        <v>665</v>
      </c>
    </row>
    <row r="21" spans="1:2">
      <c r="A21" s="65" t="s">
        <v>531</v>
      </c>
      <c r="B21" t="s">
        <v>577</v>
      </c>
    </row>
    <row r="22" spans="1:2">
      <c r="A22" s="65" t="s">
        <v>532</v>
      </c>
      <c r="B22" t="s">
        <v>666</v>
      </c>
    </row>
    <row r="23" spans="1:2">
      <c r="A23" s="65" t="s">
        <v>533</v>
      </c>
      <c r="B23" t="s">
        <v>578</v>
      </c>
    </row>
    <row r="24" spans="1:2">
      <c r="A24" s="65" t="s">
        <v>649</v>
      </c>
      <c r="B24" t="s">
        <v>662</v>
      </c>
    </row>
    <row r="25" spans="1:2">
      <c r="A25" s="65"/>
    </row>
    <row r="26" spans="1:2" ht="15.75">
      <c r="A26" s="391" t="s">
        <v>570</v>
      </c>
    </row>
    <row r="27" spans="1:2">
      <c r="A27" s="65" t="s">
        <v>534</v>
      </c>
      <c r="B27" t="s">
        <v>579</v>
      </c>
    </row>
  </sheetData>
  <hyperlinks>
    <hyperlink ref="A8" location="GFM_OriginalTable!A1" display="GFM_OriginalTable"/>
    <hyperlink ref="A9" location="GFM_Variables!A1" display="GFM_Variables"/>
    <hyperlink ref="A10" location="GFM_Data!A1" display="GFM_Data"/>
    <hyperlink ref="A11" location="GFM_AggregAlternat!A1" display="GFM_AggregAlternat"/>
    <hyperlink ref="A14" location="C_OriginalTable!A1" display="C_OriginalTable"/>
    <hyperlink ref="A15" location="C_WorkingCopy!A1" display="C_WorkingCopy"/>
    <hyperlink ref="A16" location="C_Variables!A1" display="C_Variables"/>
    <hyperlink ref="A17" location="C_Data!A1" display="C_Data"/>
    <hyperlink ref="A18" location="C_WeightExperim!A1" display="C_WeightExperim"/>
    <hyperlink ref="A19" location="C_WeightsFormatted!A1" display="C_WeightsFormatted"/>
    <hyperlink ref="A20" location="C_SubindicesData!A1" display="C_SubindicesData"/>
    <hyperlink ref="A21" location="C_SubindicesSummary!A1" display="C_SubindicesSummary"/>
    <hyperlink ref="A22" location="C_LSmethodProcess!A1" display="C_LSmethodProcess"/>
    <hyperlink ref="A23" location="C_LSmethodCompare!A1" display="C_LSmethodCompare"/>
    <hyperlink ref="A27" location="ListOfNamedRanges!A1" display="ListOfNamedRanges"/>
    <hyperlink ref="A5" location="BasicSetup!R1C1" display="BasicSetup"/>
    <hyperlink ref="A24" location="C_MissingImputed!R1C1" display="C_MissingImputed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C19"/>
  <sheetViews>
    <sheetView workbookViewId="0"/>
  </sheetViews>
  <sheetFormatPr defaultRowHeight="15"/>
  <cols>
    <col min="4" max="4" width="18.28515625" customWidth="1"/>
  </cols>
  <sheetData>
    <row r="1" spans="1:29" s="41" customFormat="1">
      <c r="A1" s="41" t="s">
        <v>52</v>
      </c>
      <c r="B1" s="41" t="s">
        <v>53</v>
      </c>
      <c r="C1" s="41" t="s">
        <v>54</v>
      </c>
      <c r="D1" s="41" t="s">
        <v>55</v>
      </c>
      <c r="E1" s="41" t="s">
        <v>56</v>
      </c>
      <c r="F1" s="41" t="s">
        <v>70</v>
      </c>
      <c r="G1" s="41" t="s">
        <v>57</v>
      </c>
      <c r="H1" s="41" t="s">
        <v>58</v>
      </c>
      <c r="I1" s="41" t="s">
        <v>59</v>
      </c>
      <c r="J1" s="41" t="s">
        <v>60</v>
      </c>
      <c r="K1" s="41" t="s">
        <v>61</v>
      </c>
      <c r="L1" s="41" t="s">
        <v>35</v>
      </c>
      <c r="M1" s="41" t="s">
        <v>36</v>
      </c>
      <c r="N1" s="41" t="s">
        <v>37</v>
      </c>
      <c r="O1" s="41" t="s">
        <v>38</v>
      </c>
      <c r="P1" s="41" t="s">
        <v>39</v>
      </c>
      <c r="Q1" s="41" t="s">
        <v>40</v>
      </c>
      <c r="R1" s="41" t="s">
        <v>41</v>
      </c>
      <c r="S1" s="41" t="s">
        <v>42</v>
      </c>
      <c r="T1" s="41" t="s">
        <v>43</v>
      </c>
      <c r="U1" s="41" t="s">
        <v>44</v>
      </c>
      <c r="V1" s="41" t="s">
        <v>45</v>
      </c>
      <c r="W1" s="41" t="s">
        <v>46</v>
      </c>
      <c r="X1" s="41" t="s">
        <v>47</v>
      </c>
      <c r="Y1" s="41" t="s">
        <v>48</v>
      </c>
      <c r="Z1" s="41" t="s">
        <v>49</v>
      </c>
      <c r="AA1" s="41" t="s">
        <v>64</v>
      </c>
      <c r="AB1" s="41" t="s">
        <v>63</v>
      </c>
      <c r="AC1" s="41" t="s">
        <v>71</v>
      </c>
    </row>
    <row r="2" spans="1:29">
      <c r="A2">
        <v>1</v>
      </c>
      <c r="B2">
        <v>1</v>
      </c>
      <c r="C2">
        <v>4</v>
      </c>
      <c r="D2" t="s">
        <v>13</v>
      </c>
      <c r="E2">
        <v>678033</v>
      </c>
      <c r="F2">
        <v>13008</v>
      </c>
      <c r="G2">
        <v>5372</v>
      </c>
      <c r="H2">
        <v>0.10412063418226926</v>
      </c>
      <c r="I2">
        <v>7.9229182060460181E-3</v>
      </c>
      <c r="J2">
        <f t="shared" ref="J2:J9" si="0">RANK( I2, RatioDisplToPop,1)</f>
        <v>12</v>
      </c>
      <c r="K2">
        <f t="shared" ref="K2:K9" si="1">RANK( H2, PCallDisplaced,1)</f>
        <v>12</v>
      </c>
      <c r="L2">
        <v>5372</v>
      </c>
      <c r="M2">
        <v>0.10412063418226926</v>
      </c>
      <c r="N2">
        <v>18894</v>
      </c>
      <c r="O2">
        <v>0.11549252727772853</v>
      </c>
      <c r="P2">
        <v>46</v>
      </c>
      <c r="Q2">
        <v>0.12299465240641712</v>
      </c>
      <c r="R2">
        <v>132</v>
      </c>
      <c r="S2">
        <v>9.421841541755889E-2</v>
      </c>
      <c r="T2">
        <v>269</v>
      </c>
      <c r="U2">
        <v>2.7059651946484256E-2</v>
      </c>
      <c r="V2">
        <v>0</v>
      </c>
      <c r="W2">
        <v>0</v>
      </c>
      <c r="X2">
        <v>287</v>
      </c>
      <c r="Y2">
        <v>2.3285437271303739E-3</v>
      </c>
      <c r="Z2">
        <v>9.7960652245382088E-3</v>
      </c>
      <c r="AA2">
        <v>8.8100969772738277E-2</v>
      </c>
      <c r="AB2">
        <v>11</v>
      </c>
      <c r="AC2">
        <v>0.11</v>
      </c>
    </row>
    <row r="3" spans="1:29">
      <c r="A3">
        <v>2</v>
      </c>
      <c r="B3">
        <v>1</v>
      </c>
      <c r="C3">
        <v>3</v>
      </c>
      <c r="D3" t="s">
        <v>15</v>
      </c>
      <c r="E3">
        <v>1036523</v>
      </c>
      <c r="F3">
        <v>13921</v>
      </c>
      <c r="G3">
        <v>1194</v>
      </c>
      <c r="H3">
        <v>2.3142225840213977E-2</v>
      </c>
      <c r="I3">
        <v>1.1519281289464874E-3</v>
      </c>
      <c r="J3">
        <f t="shared" si="0"/>
        <v>2</v>
      </c>
      <c r="K3">
        <f t="shared" si="1"/>
        <v>5</v>
      </c>
      <c r="L3">
        <v>1194</v>
      </c>
      <c r="M3">
        <v>2.3142225840213977E-2</v>
      </c>
      <c r="N3">
        <v>0</v>
      </c>
      <c r="O3">
        <v>0</v>
      </c>
      <c r="P3">
        <v>21</v>
      </c>
      <c r="Q3">
        <v>5.6149732620320858E-2</v>
      </c>
      <c r="R3">
        <v>81</v>
      </c>
      <c r="S3">
        <v>5.7815845824411134E-2</v>
      </c>
      <c r="T3">
        <v>1079</v>
      </c>
      <c r="U3">
        <v>0.1085403882909164</v>
      </c>
      <c r="V3">
        <v>45</v>
      </c>
      <c r="W3">
        <v>8.5714285714285715E-2</v>
      </c>
      <c r="X3">
        <v>8900</v>
      </c>
      <c r="Y3">
        <v>7.2209195719373967E-2</v>
      </c>
      <c r="Z3">
        <v>8.8821289908192033E-2</v>
      </c>
      <c r="AA3">
        <v>4.2028312092181719E-2</v>
      </c>
      <c r="AB3">
        <v>8</v>
      </c>
      <c r="AC3">
        <v>0.04</v>
      </c>
    </row>
    <row r="4" spans="1:29">
      <c r="A4">
        <v>3</v>
      </c>
      <c r="B4">
        <v>1</v>
      </c>
      <c r="C4">
        <v>7</v>
      </c>
      <c r="D4" t="s">
        <v>16</v>
      </c>
      <c r="E4">
        <v>1680694</v>
      </c>
      <c r="F4">
        <v>33436</v>
      </c>
      <c r="G4">
        <v>6085</v>
      </c>
      <c r="H4">
        <v>0.11794007055083924</v>
      </c>
      <c r="I4">
        <v>3.6205281865705477E-3</v>
      </c>
      <c r="J4">
        <f t="shared" si="0"/>
        <v>8</v>
      </c>
      <c r="K4">
        <f t="shared" si="1"/>
        <v>13</v>
      </c>
      <c r="L4">
        <v>6085</v>
      </c>
      <c r="M4">
        <v>0.11794007055083924</v>
      </c>
      <c r="N4">
        <v>22668</v>
      </c>
      <c r="O4">
        <v>0.13856169198325133</v>
      </c>
      <c r="P4">
        <v>54</v>
      </c>
      <c r="Q4">
        <v>0.14438502673796791</v>
      </c>
      <c r="R4">
        <v>231</v>
      </c>
      <c r="S4">
        <v>0.16488222698072805</v>
      </c>
      <c r="T4">
        <v>2285</v>
      </c>
      <c r="U4">
        <v>0.22985615129262649</v>
      </c>
      <c r="V4">
        <v>9</v>
      </c>
      <c r="W4">
        <v>1.7142857142857144E-2</v>
      </c>
      <c r="X4">
        <v>43849</v>
      </c>
      <c r="Y4">
        <v>0.35576415989874488</v>
      </c>
      <c r="Z4">
        <v>0.20092105611140951</v>
      </c>
      <c r="AA4">
        <v>0.150451961345867</v>
      </c>
      <c r="AB4">
        <v>15</v>
      </c>
      <c r="AC4">
        <v>0.12</v>
      </c>
    </row>
    <row r="5" spans="1:29">
      <c r="A5">
        <v>4</v>
      </c>
      <c r="B5">
        <v>1</v>
      </c>
      <c r="C5">
        <v>12</v>
      </c>
      <c r="D5" t="s">
        <v>17</v>
      </c>
      <c r="E5">
        <v>472616</v>
      </c>
      <c r="F5">
        <v>11534</v>
      </c>
      <c r="G5">
        <v>11534</v>
      </c>
      <c r="H5">
        <v>0.22355312633251928</v>
      </c>
      <c r="I5">
        <v>2.4404590619022632E-2</v>
      </c>
      <c r="J5">
        <f t="shared" si="0"/>
        <v>15</v>
      </c>
      <c r="K5">
        <f t="shared" si="1"/>
        <v>15</v>
      </c>
      <c r="L5">
        <v>11534</v>
      </c>
      <c r="M5">
        <v>0.22355312633251928</v>
      </c>
      <c r="N5">
        <v>11166</v>
      </c>
      <c r="O5">
        <v>6.8253919740823371E-2</v>
      </c>
      <c r="P5">
        <v>19</v>
      </c>
      <c r="Q5">
        <v>5.0802139037433157E-2</v>
      </c>
      <c r="R5">
        <v>84</v>
      </c>
      <c r="S5">
        <v>5.9957173447537475E-2</v>
      </c>
      <c r="T5">
        <v>515</v>
      </c>
      <c r="U5">
        <v>5.1805653354793278E-2</v>
      </c>
      <c r="V5">
        <v>69</v>
      </c>
      <c r="W5">
        <v>0.13142857142857142</v>
      </c>
      <c r="X5">
        <v>16728</v>
      </c>
      <c r="Y5">
        <v>0.13572083438131324</v>
      </c>
      <c r="Z5">
        <v>0.10631835305489264</v>
      </c>
      <c r="AA5">
        <v>0.1122318845414171</v>
      </c>
      <c r="AB5">
        <v>14</v>
      </c>
      <c r="AC5">
        <v>0.12</v>
      </c>
    </row>
    <row r="6" spans="1:29">
      <c r="A6">
        <v>5</v>
      </c>
      <c r="B6">
        <v>1</v>
      </c>
      <c r="C6">
        <v>2</v>
      </c>
      <c r="D6" t="s">
        <v>18</v>
      </c>
      <c r="E6">
        <v>708398</v>
      </c>
      <c r="F6">
        <v>54414</v>
      </c>
      <c r="G6">
        <v>2448</v>
      </c>
      <c r="H6">
        <v>4.7447377602046752E-2</v>
      </c>
      <c r="I6">
        <v>3.4556845163312149E-3</v>
      </c>
      <c r="J6">
        <f t="shared" si="0"/>
        <v>7</v>
      </c>
      <c r="K6">
        <f t="shared" si="1"/>
        <v>9</v>
      </c>
      <c r="L6">
        <v>2448</v>
      </c>
      <c r="M6">
        <v>4.7447377602046752E-2</v>
      </c>
      <c r="N6">
        <v>28701</v>
      </c>
      <c r="O6">
        <v>0.175439347168312</v>
      </c>
      <c r="P6">
        <v>13</v>
      </c>
      <c r="Q6">
        <v>3.4759358288770054E-2</v>
      </c>
      <c r="R6">
        <v>107</v>
      </c>
      <c r="S6">
        <v>7.6374018558172732E-2</v>
      </c>
      <c r="T6">
        <v>526</v>
      </c>
      <c r="U6">
        <v>5.2912181873051002E-2</v>
      </c>
      <c r="V6">
        <v>81</v>
      </c>
      <c r="W6">
        <v>0.15428571428571428</v>
      </c>
      <c r="X6">
        <v>12655</v>
      </c>
      <c r="Y6">
        <v>0.10267498559872781</v>
      </c>
      <c r="Z6">
        <v>0.10329096058583102</v>
      </c>
      <c r="AA6">
        <v>9.0234260911239969E-2</v>
      </c>
      <c r="AB6">
        <v>12</v>
      </c>
      <c r="AC6">
        <v>0.09</v>
      </c>
    </row>
    <row r="7" spans="1:29">
      <c r="A7">
        <v>6</v>
      </c>
      <c r="B7">
        <v>1</v>
      </c>
      <c r="C7">
        <v>17</v>
      </c>
      <c r="D7" t="s">
        <v>19</v>
      </c>
      <c r="E7">
        <v>585110</v>
      </c>
      <c r="F7">
        <v>8245</v>
      </c>
      <c r="G7">
        <v>767</v>
      </c>
      <c r="H7">
        <v>1.4866069698026903E-2</v>
      </c>
      <c r="I7">
        <v>1.3108646237459623E-3</v>
      </c>
      <c r="J7">
        <f t="shared" si="0"/>
        <v>3</v>
      </c>
      <c r="K7">
        <f t="shared" si="1"/>
        <v>4</v>
      </c>
      <c r="L7">
        <v>767</v>
      </c>
      <c r="M7">
        <v>1.4866069698026903E-2</v>
      </c>
      <c r="N7">
        <v>0</v>
      </c>
      <c r="O7">
        <v>0</v>
      </c>
      <c r="P7">
        <v>4</v>
      </c>
      <c r="Q7">
        <v>1.06951871657754E-2</v>
      </c>
      <c r="R7">
        <v>16</v>
      </c>
      <c r="S7">
        <v>1.1420413990007138E-2</v>
      </c>
      <c r="T7">
        <v>122</v>
      </c>
      <c r="U7">
        <v>1.2272407202494718E-2</v>
      </c>
      <c r="V7">
        <v>3</v>
      </c>
      <c r="W7">
        <v>5.7142857142857143E-3</v>
      </c>
      <c r="X7">
        <v>2710</v>
      </c>
      <c r="Y7">
        <v>2.1987294426910501E-2</v>
      </c>
      <c r="Z7">
        <v>1.3324662447896977E-2</v>
      </c>
      <c r="AA7">
        <v>9.7214798279248206E-3</v>
      </c>
      <c r="AB7">
        <v>3</v>
      </c>
      <c r="AC7">
        <v>0.02</v>
      </c>
    </row>
    <row r="8" spans="1:29">
      <c r="A8">
        <v>7</v>
      </c>
      <c r="B8">
        <v>1</v>
      </c>
      <c r="C8">
        <v>11</v>
      </c>
      <c r="D8" t="s">
        <v>20</v>
      </c>
      <c r="E8">
        <v>1265805</v>
      </c>
      <c r="F8">
        <v>72047</v>
      </c>
      <c r="G8">
        <v>2180</v>
      </c>
      <c r="H8">
        <v>4.2252975152149472E-2</v>
      </c>
      <c r="I8">
        <v>1.7222241972499714E-3</v>
      </c>
      <c r="J8">
        <f t="shared" si="0"/>
        <v>5</v>
      </c>
      <c r="K8">
        <f t="shared" si="1"/>
        <v>8</v>
      </c>
      <c r="L8">
        <v>2180</v>
      </c>
      <c r="M8">
        <v>4.2252975152149472E-2</v>
      </c>
      <c r="N8">
        <v>5770</v>
      </c>
      <c r="O8">
        <v>3.5270026590054709E-2</v>
      </c>
      <c r="P8">
        <v>57</v>
      </c>
      <c r="Q8">
        <v>0.15240641711229946</v>
      </c>
      <c r="R8">
        <v>212</v>
      </c>
      <c r="S8">
        <v>0.15132048536759457</v>
      </c>
      <c r="T8">
        <v>1955</v>
      </c>
      <c r="U8">
        <v>0.19666029574489488</v>
      </c>
      <c r="V8">
        <v>75</v>
      </c>
      <c r="W8">
        <v>0.14285714285714285</v>
      </c>
      <c r="X8">
        <v>13570</v>
      </c>
      <c r="Y8">
        <v>0.11009873999010165</v>
      </c>
      <c r="Z8">
        <v>0.14987205953071314</v>
      </c>
      <c r="AA8">
        <v>9.4950369596304193E-2</v>
      </c>
      <c r="AB8">
        <v>13</v>
      </c>
      <c r="AC8">
        <v>0.06</v>
      </c>
    </row>
    <row r="9" spans="1:29">
      <c r="A9">
        <v>8</v>
      </c>
      <c r="B9">
        <v>1</v>
      </c>
      <c r="C9">
        <v>8</v>
      </c>
      <c r="D9" t="s">
        <v>21</v>
      </c>
      <c r="E9">
        <v>318523</v>
      </c>
      <c r="F9">
        <v>15601</v>
      </c>
      <c r="G9">
        <v>1403</v>
      </c>
      <c r="H9">
        <v>2.7193084467186109E-2</v>
      </c>
      <c r="I9">
        <v>4.404705468678871E-3</v>
      </c>
      <c r="J9">
        <f t="shared" si="0"/>
        <v>11</v>
      </c>
      <c r="K9">
        <f t="shared" si="1"/>
        <v>6</v>
      </c>
      <c r="L9">
        <v>1403</v>
      </c>
      <c r="M9">
        <v>2.7193084467186109E-2</v>
      </c>
      <c r="N9">
        <v>0</v>
      </c>
      <c r="O9">
        <v>0</v>
      </c>
      <c r="P9">
        <v>16</v>
      </c>
      <c r="Q9">
        <v>4.2780748663101602E-2</v>
      </c>
      <c r="R9">
        <v>102</v>
      </c>
      <c r="S9">
        <v>7.2805139186295498E-2</v>
      </c>
      <c r="T9">
        <v>298</v>
      </c>
      <c r="U9">
        <v>2.9976863494618249E-2</v>
      </c>
      <c r="V9">
        <v>0</v>
      </c>
      <c r="W9">
        <v>0</v>
      </c>
      <c r="X9">
        <v>1439</v>
      </c>
      <c r="Y9">
        <v>1.1675172206761701E-2</v>
      </c>
      <c r="Z9">
        <v>1.3884011900459984E-2</v>
      </c>
      <c r="AA9">
        <v>2.0964461257686924E-2</v>
      </c>
      <c r="AB9">
        <v>4</v>
      </c>
      <c r="AC9">
        <v>0.08</v>
      </c>
    </row>
    <row r="10" spans="1:29">
      <c r="A10">
        <v>9</v>
      </c>
      <c r="B10">
        <v>0</v>
      </c>
      <c r="C10">
        <v>6</v>
      </c>
      <c r="D10" t="s">
        <v>22</v>
      </c>
      <c r="E10">
        <v>185443</v>
      </c>
      <c r="F10">
        <v>716</v>
      </c>
    </row>
    <row r="11" spans="1:29">
      <c r="A11">
        <v>10</v>
      </c>
      <c r="B11">
        <v>0</v>
      </c>
      <c r="C11">
        <v>18</v>
      </c>
      <c r="D11" t="s">
        <v>24</v>
      </c>
      <c r="E11">
        <v>70482</v>
      </c>
      <c r="F11">
        <v>258</v>
      </c>
    </row>
    <row r="12" spans="1:29">
      <c r="A12">
        <v>11</v>
      </c>
      <c r="B12">
        <v>1</v>
      </c>
      <c r="C12">
        <v>15</v>
      </c>
      <c r="D12" t="s">
        <v>25</v>
      </c>
      <c r="E12">
        <v>2000064</v>
      </c>
      <c r="F12">
        <v>17150</v>
      </c>
      <c r="G12">
        <v>3017</v>
      </c>
      <c r="H12">
        <v>5.8475791758731632E-2</v>
      </c>
      <c r="I12">
        <v>1.5084517295446546E-3</v>
      </c>
      <c r="J12">
        <f>RANK( I12, RatioDisplToPop,1)</f>
        <v>4</v>
      </c>
      <c r="K12">
        <f>RANK( H12, PCallDisplaced,1)</f>
        <v>10</v>
      </c>
      <c r="L12">
        <v>3017</v>
      </c>
      <c r="M12">
        <v>5.8475791758731632E-2</v>
      </c>
      <c r="N12">
        <v>681</v>
      </c>
      <c r="O12">
        <v>4.1627189095021239E-3</v>
      </c>
      <c r="P12">
        <v>7</v>
      </c>
      <c r="Q12">
        <v>1.871657754010695E-2</v>
      </c>
      <c r="R12">
        <v>22</v>
      </c>
      <c r="S12">
        <v>1.5703069236259814E-2</v>
      </c>
      <c r="T12">
        <v>160</v>
      </c>
      <c r="U12">
        <v>1.6094960265566845E-2</v>
      </c>
      <c r="V12">
        <v>0</v>
      </c>
      <c r="W12">
        <v>0</v>
      </c>
      <c r="X12">
        <v>0</v>
      </c>
      <c r="Y12">
        <v>0</v>
      </c>
      <c r="Z12">
        <v>5.3649867551889482E-3</v>
      </c>
      <c r="AA12">
        <v>2.1680018740882413E-2</v>
      </c>
      <c r="AB12">
        <v>5</v>
      </c>
      <c r="AC12">
        <v>0.02</v>
      </c>
    </row>
    <row r="13" spans="1:29">
      <c r="A13">
        <v>12</v>
      </c>
      <c r="B13">
        <v>1</v>
      </c>
      <c r="C13">
        <v>1</v>
      </c>
      <c r="D13" t="s">
        <v>26</v>
      </c>
      <c r="E13">
        <v>170852</v>
      </c>
      <c r="F13">
        <v>5199</v>
      </c>
      <c r="G13">
        <v>665</v>
      </c>
      <c r="H13">
        <v>1.2889095631274954E-2</v>
      </c>
      <c r="I13">
        <v>3.8922576264837404E-3</v>
      </c>
      <c r="J13">
        <f>RANK( I13, RatioDisplToPop,1)</f>
        <v>9</v>
      </c>
      <c r="K13">
        <f>RANK( H13, PCallDisplaced,1)</f>
        <v>2</v>
      </c>
      <c r="L13">
        <v>665</v>
      </c>
      <c r="M13">
        <v>1.2889095631274954E-2</v>
      </c>
      <c r="N13">
        <v>0</v>
      </c>
      <c r="O13">
        <v>0</v>
      </c>
      <c r="P13">
        <v>6</v>
      </c>
      <c r="Q13">
        <v>1.6042780748663103E-2</v>
      </c>
      <c r="R13">
        <v>1</v>
      </c>
      <c r="S13">
        <v>7.1377587437544611E-4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7.2329690949845139E-3</v>
      </c>
      <c r="AB13">
        <v>2</v>
      </c>
      <c r="AC13">
        <v>0.01</v>
      </c>
    </row>
    <row r="14" spans="1:29">
      <c r="A14">
        <v>13</v>
      </c>
      <c r="B14">
        <v>1</v>
      </c>
      <c r="C14">
        <v>10</v>
      </c>
      <c r="D14" t="s">
        <v>27</v>
      </c>
      <c r="E14">
        <v>947357</v>
      </c>
      <c r="F14">
        <v>40615</v>
      </c>
      <c r="G14">
        <v>10227</v>
      </c>
      <c r="H14">
        <v>0.19822072333992324</v>
      </c>
      <c r="I14">
        <v>1.0795296809967098E-2</v>
      </c>
      <c r="J14">
        <f>RANK( I14, RatioDisplToPop,1)</f>
        <v>14</v>
      </c>
      <c r="K14">
        <f>RANK( H14, PCallDisplaced,1)</f>
        <v>14</v>
      </c>
      <c r="L14">
        <v>10227</v>
      </c>
      <c r="M14">
        <v>0.19822072333992324</v>
      </c>
      <c r="N14">
        <v>47268</v>
      </c>
      <c r="O14">
        <v>0.28893303585072894</v>
      </c>
      <c r="P14">
        <v>61</v>
      </c>
      <c r="Q14">
        <v>0.16310160427807488</v>
      </c>
      <c r="R14">
        <v>182</v>
      </c>
      <c r="S14">
        <v>0.12990720913633119</v>
      </c>
      <c r="T14">
        <v>911</v>
      </c>
      <c r="U14">
        <v>9.1640680012071221E-2</v>
      </c>
      <c r="V14">
        <v>90</v>
      </c>
      <c r="W14">
        <v>0.17142857142857143</v>
      </c>
      <c r="X14">
        <v>4708</v>
      </c>
      <c r="Y14">
        <v>3.8197853196271087E-2</v>
      </c>
      <c r="Z14">
        <v>0.10042236821230459</v>
      </c>
      <c r="AA14">
        <v>0.18766943292025789</v>
      </c>
      <c r="AB14">
        <v>16</v>
      </c>
      <c r="AC14">
        <v>0.2</v>
      </c>
    </row>
    <row r="15" spans="1:29">
      <c r="A15">
        <v>14</v>
      </c>
      <c r="B15">
        <v>1</v>
      </c>
      <c r="C15">
        <v>13</v>
      </c>
      <c r="D15" t="s">
        <v>28</v>
      </c>
      <c r="E15">
        <v>397107</v>
      </c>
      <c r="F15">
        <v>12982</v>
      </c>
      <c r="G15">
        <v>1591</v>
      </c>
      <c r="H15">
        <v>3.0836919021591656E-2</v>
      </c>
      <c r="I15">
        <v>4.0064768437725849E-3</v>
      </c>
      <c r="J15">
        <f>RANK( I15, RatioDisplToPop,1)</f>
        <v>10</v>
      </c>
      <c r="K15">
        <f>RANK( H15, PCallDisplaced,1)</f>
        <v>7</v>
      </c>
      <c r="L15">
        <v>1591</v>
      </c>
      <c r="M15">
        <v>3.0836919021591656E-2</v>
      </c>
      <c r="N15">
        <v>0</v>
      </c>
      <c r="O15">
        <v>0</v>
      </c>
      <c r="P15">
        <v>14</v>
      </c>
      <c r="Q15">
        <v>3.7433155080213901E-2</v>
      </c>
      <c r="R15">
        <v>29</v>
      </c>
      <c r="S15">
        <v>2.0699500356887938E-2</v>
      </c>
      <c r="T15">
        <v>710</v>
      </c>
      <c r="U15">
        <v>7.1421386178452867E-2</v>
      </c>
      <c r="V15">
        <v>84</v>
      </c>
      <c r="W15">
        <v>0.16</v>
      </c>
      <c r="X15">
        <v>10738</v>
      </c>
      <c r="Y15">
        <v>8.7121611644341318E-2</v>
      </c>
      <c r="Z15">
        <v>0.10618099927426472</v>
      </c>
      <c r="AA15">
        <v>4.3612768344017568E-2</v>
      </c>
      <c r="AB15">
        <v>9</v>
      </c>
      <c r="AC15">
        <v>0.03</v>
      </c>
    </row>
    <row r="16" spans="1:29">
      <c r="A16">
        <v>15</v>
      </c>
      <c r="B16">
        <v>1</v>
      </c>
      <c r="C16">
        <v>5</v>
      </c>
      <c r="D16" t="s">
        <v>29</v>
      </c>
      <c r="E16">
        <v>896309</v>
      </c>
      <c r="F16">
        <v>23198</v>
      </c>
      <c r="L16">
        <v>0</v>
      </c>
      <c r="M16">
        <v>0</v>
      </c>
      <c r="N16">
        <v>15120</v>
      </c>
      <c r="O16">
        <v>9.242336257220575E-2</v>
      </c>
      <c r="P16">
        <v>25</v>
      </c>
      <c r="Q16">
        <v>6.684491978609626E-2</v>
      </c>
      <c r="R16">
        <v>129</v>
      </c>
      <c r="S16">
        <v>9.2077087794432549E-2</v>
      </c>
      <c r="T16">
        <v>184</v>
      </c>
      <c r="U16">
        <v>1.8509204305401872E-2</v>
      </c>
      <c r="V16">
        <v>0</v>
      </c>
      <c r="W16">
        <v>0</v>
      </c>
      <c r="X16">
        <v>796</v>
      </c>
      <c r="Y16">
        <v>6.4582606508563683E-3</v>
      </c>
      <c r="Z16">
        <v>8.3224883187527476E-3</v>
      </c>
      <c r="AA16">
        <v>4.1897692669263686E-2</v>
      </c>
      <c r="AB16">
        <v>7</v>
      </c>
      <c r="AC16">
        <v>0.08</v>
      </c>
    </row>
    <row r="17" spans="1:29">
      <c r="A17">
        <v>16</v>
      </c>
      <c r="B17">
        <v>1</v>
      </c>
      <c r="C17">
        <v>9</v>
      </c>
      <c r="D17" t="s">
        <v>31</v>
      </c>
      <c r="E17">
        <v>111734</v>
      </c>
      <c r="F17">
        <v>3005</v>
      </c>
      <c r="G17">
        <v>225</v>
      </c>
      <c r="H17">
        <v>4.3609722060704735E-3</v>
      </c>
      <c r="I17">
        <v>2.0137111353750871E-3</v>
      </c>
      <c r="J17">
        <f>RANK( I17, RatioDisplToPop,1)</f>
        <v>6</v>
      </c>
      <c r="K17">
        <f>RANK( H17, PCallDisplaced,1)</f>
        <v>1</v>
      </c>
      <c r="L17">
        <v>225</v>
      </c>
      <c r="M17">
        <v>4.3609722060704735E-3</v>
      </c>
      <c r="N17">
        <v>0</v>
      </c>
      <c r="O17">
        <v>0</v>
      </c>
      <c r="P17">
        <v>4</v>
      </c>
      <c r="Q17">
        <v>1.06951871657754E-2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3.7640398429614683E-3</v>
      </c>
      <c r="AB17">
        <v>1</v>
      </c>
      <c r="AC17">
        <v>0</v>
      </c>
    </row>
    <row r="18" spans="1:29">
      <c r="A18">
        <v>17</v>
      </c>
      <c r="B18">
        <v>1</v>
      </c>
      <c r="C18">
        <v>16</v>
      </c>
      <c r="D18" t="s">
        <v>32</v>
      </c>
      <c r="E18">
        <v>482785</v>
      </c>
      <c r="F18">
        <v>17076</v>
      </c>
      <c r="G18">
        <v>4160</v>
      </c>
      <c r="H18">
        <v>8.0629530565569638E-2</v>
      </c>
      <c r="I18">
        <v>8.616672017564754E-3</v>
      </c>
      <c r="J18">
        <f>RANK( I18, RatioDisplToPop,1)</f>
        <v>13</v>
      </c>
      <c r="K18">
        <f>RANK( H18, PCallDisplaced,1)</f>
        <v>11</v>
      </c>
      <c r="L18">
        <v>4160</v>
      </c>
      <c r="M18">
        <v>8.0629530565569638E-2</v>
      </c>
      <c r="N18">
        <v>7761</v>
      </c>
      <c r="O18">
        <v>4.7440325193312753E-2</v>
      </c>
      <c r="P18">
        <v>14</v>
      </c>
      <c r="Q18">
        <v>3.7433155080213901E-2</v>
      </c>
      <c r="R18">
        <v>24</v>
      </c>
      <c r="S18">
        <v>1.7130620985010708E-2</v>
      </c>
      <c r="T18">
        <v>184</v>
      </c>
      <c r="U18">
        <v>1.8509204305401872E-2</v>
      </c>
      <c r="V18">
        <v>0</v>
      </c>
      <c r="W18">
        <v>0</v>
      </c>
      <c r="X18">
        <v>2667</v>
      </c>
      <c r="Y18">
        <v>2.1638418537479817E-2</v>
      </c>
      <c r="Z18">
        <v>1.338254094762723E-2</v>
      </c>
      <c r="AA18">
        <v>4.4721387946680881E-2</v>
      </c>
      <c r="AB18">
        <v>10</v>
      </c>
      <c r="AC18">
        <v>0.05</v>
      </c>
    </row>
    <row r="19" spans="1:29">
      <c r="A19">
        <v>18</v>
      </c>
      <c r="B19">
        <v>1</v>
      </c>
      <c r="C19">
        <v>14</v>
      </c>
      <c r="D19" t="s">
        <v>33</v>
      </c>
      <c r="E19">
        <v>843931</v>
      </c>
      <c r="F19">
        <v>7869</v>
      </c>
      <c r="G19">
        <v>726</v>
      </c>
      <c r="H19">
        <v>1.4071403651587393E-2</v>
      </c>
      <c r="I19">
        <v>8.6025990276456248E-4</v>
      </c>
      <c r="J19">
        <f>RANK( I19, RatioDisplToPop,1)</f>
        <v>1</v>
      </c>
      <c r="K19">
        <f>RANK( H19, PCallDisplaced,1)</f>
        <v>3</v>
      </c>
      <c r="L19">
        <v>726</v>
      </c>
      <c r="M19">
        <v>1.4071403651587393E-2</v>
      </c>
      <c r="N19">
        <v>5566</v>
      </c>
      <c r="O19">
        <v>3.4023044714080505E-2</v>
      </c>
      <c r="P19">
        <v>12</v>
      </c>
      <c r="Q19">
        <v>3.2085561497326207E-2</v>
      </c>
      <c r="R19">
        <v>49</v>
      </c>
      <c r="S19">
        <v>3.4975017844396862E-2</v>
      </c>
      <c r="T19">
        <v>743</v>
      </c>
      <c r="U19">
        <v>7.4740971733226039E-2</v>
      </c>
      <c r="V19">
        <v>69</v>
      </c>
      <c r="W19">
        <v>0.13142857142857142</v>
      </c>
      <c r="X19">
        <v>4206</v>
      </c>
      <c r="Y19">
        <v>3.4124930021987292E-2</v>
      </c>
      <c r="Z19">
        <v>8.0098157727928262E-2</v>
      </c>
      <c r="AA19">
        <v>4.0069541897730591E-2</v>
      </c>
      <c r="AB19">
        <v>6</v>
      </c>
      <c r="AC19">
        <v>0.03</v>
      </c>
    </row>
  </sheetData>
  <sortState ref="A2:AC19">
    <sortCondition ref="A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O86"/>
  <sheetViews>
    <sheetView zoomScale="75" zoomScaleNormal="75" workbookViewId="0"/>
  </sheetViews>
  <sheetFormatPr defaultRowHeight="15"/>
  <cols>
    <col min="1" max="1" width="23" customWidth="1"/>
    <col min="2" max="2" width="23.7109375" customWidth="1"/>
    <col min="3" max="7" width="10.7109375" customWidth="1"/>
    <col min="8" max="13" width="10.7109375" style="67" customWidth="1"/>
    <col min="14" max="27" width="10.7109375" customWidth="1"/>
    <col min="28" max="28" width="7" customWidth="1"/>
  </cols>
  <sheetData>
    <row r="1" spans="1:13" s="76" customFormat="1" ht="27" customHeight="1" thickBot="1">
      <c r="A1" s="161" t="s">
        <v>130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</row>
    <row r="2" spans="1:13" ht="106.5" customHeight="1" thickTop="1">
      <c r="A2" s="137" t="s">
        <v>72</v>
      </c>
      <c r="B2" s="138" t="s">
        <v>55</v>
      </c>
      <c r="C2" s="139" t="s">
        <v>70</v>
      </c>
      <c r="D2" s="107" t="s">
        <v>123</v>
      </c>
      <c r="E2" s="108" t="s">
        <v>124</v>
      </c>
      <c r="F2" s="109" t="s">
        <v>125</v>
      </c>
      <c r="G2" s="110" t="s">
        <v>126</v>
      </c>
      <c r="H2" s="111" t="s">
        <v>127</v>
      </c>
      <c r="I2" s="112" t="s">
        <v>128</v>
      </c>
      <c r="J2" s="113" t="s">
        <v>115</v>
      </c>
      <c r="K2" s="114" t="s">
        <v>116</v>
      </c>
      <c r="L2" s="131" t="s">
        <v>64</v>
      </c>
      <c r="M2" s="132" t="s">
        <v>63</v>
      </c>
    </row>
    <row r="3" spans="1:13">
      <c r="A3" s="140">
        <v>1</v>
      </c>
      <c r="B3" s="87" t="s">
        <v>13</v>
      </c>
      <c r="C3" s="143">
        <v>13008</v>
      </c>
      <c r="D3" s="115">
        <v>0.10412063418226926</v>
      </c>
      <c r="E3" s="116">
        <f t="shared" ref="E3:E18" si="0">D3*DisplacementWeight</f>
        <v>0.10412063418226926</v>
      </c>
      <c r="F3" s="117">
        <v>0.11549252727772853</v>
      </c>
      <c r="G3" s="118">
        <f t="shared" ref="G3:G18" si="1">F3*CropDamageWeight</f>
        <v>0.11549252727772853</v>
      </c>
      <c r="H3" s="119">
        <v>0.12299465240641712</v>
      </c>
      <c r="I3" s="120">
        <f t="shared" ref="I3:I18" si="2">H3*HealthCenterWeight</f>
        <v>0.12299465240641712</v>
      </c>
      <c r="J3" s="121">
        <v>9.7960652245382088E-3</v>
      </c>
      <c r="K3" s="122">
        <f t="shared" ref="K3:K18" si="3">J3*SchoolNeedWeight</f>
        <v>9.7960652245382088E-3</v>
      </c>
      <c r="L3" s="133">
        <f t="shared" ref="L3:L18" si="4">SUM(E3,G3,I3,K3) / SUM(Weights)</f>
        <v>8.8100969772738277E-2</v>
      </c>
      <c r="M3" s="134">
        <f t="shared" ref="M3:M18" si="5">RANK(L3,Composite2,1)</f>
        <v>11</v>
      </c>
    </row>
    <row r="4" spans="1:13">
      <c r="A4" s="140">
        <v>2</v>
      </c>
      <c r="B4" s="87" t="s">
        <v>15</v>
      </c>
      <c r="C4" s="143">
        <v>13921</v>
      </c>
      <c r="D4" s="115">
        <v>2.3142225840213977E-2</v>
      </c>
      <c r="E4" s="116">
        <f t="shared" si="0"/>
        <v>2.3142225840213977E-2</v>
      </c>
      <c r="F4" s="117">
        <v>0</v>
      </c>
      <c r="G4" s="118">
        <f t="shared" si="1"/>
        <v>0</v>
      </c>
      <c r="H4" s="119">
        <v>5.6149732620320858E-2</v>
      </c>
      <c r="I4" s="120">
        <f t="shared" si="2"/>
        <v>5.6149732620320858E-2</v>
      </c>
      <c r="J4" s="121">
        <v>8.8821289908192033E-2</v>
      </c>
      <c r="K4" s="122">
        <f t="shared" si="3"/>
        <v>8.8821289908192033E-2</v>
      </c>
      <c r="L4" s="133">
        <f t="shared" si="4"/>
        <v>4.2028312092181719E-2</v>
      </c>
      <c r="M4" s="134">
        <f t="shared" si="5"/>
        <v>8</v>
      </c>
    </row>
    <row r="5" spans="1:13">
      <c r="A5" s="140">
        <v>3</v>
      </c>
      <c r="B5" s="87" t="s">
        <v>16</v>
      </c>
      <c r="C5" s="144">
        <v>33436</v>
      </c>
      <c r="D5" s="115">
        <v>0.11794007055083924</v>
      </c>
      <c r="E5" s="116">
        <f t="shared" si="0"/>
        <v>0.11794007055083924</v>
      </c>
      <c r="F5" s="117">
        <v>0.13856169198325133</v>
      </c>
      <c r="G5" s="118">
        <f t="shared" si="1"/>
        <v>0.13856169198325133</v>
      </c>
      <c r="H5" s="119">
        <v>0.14438502673796791</v>
      </c>
      <c r="I5" s="120">
        <f t="shared" si="2"/>
        <v>0.14438502673796791</v>
      </c>
      <c r="J5" s="121">
        <v>0.20092105611140951</v>
      </c>
      <c r="K5" s="122">
        <f t="shared" si="3"/>
        <v>0.20092105611140951</v>
      </c>
      <c r="L5" s="133">
        <f t="shared" si="4"/>
        <v>0.150451961345867</v>
      </c>
      <c r="M5" s="134">
        <f t="shared" si="5"/>
        <v>15</v>
      </c>
    </row>
    <row r="6" spans="1:13">
      <c r="A6" s="140">
        <v>4</v>
      </c>
      <c r="B6" s="87" t="s">
        <v>17</v>
      </c>
      <c r="C6" s="143">
        <v>11534</v>
      </c>
      <c r="D6" s="115">
        <v>0.22355312633251928</v>
      </c>
      <c r="E6" s="116">
        <f t="shared" si="0"/>
        <v>0.22355312633251928</v>
      </c>
      <c r="F6" s="117">
        <v>6.8253919740823371E-2</v>
      </c>
      <c r="G6" s="118">
        <f t="shared" si="1"/>
        <v>6.8253919740823371E-2</v>
      </c>
      <c r="H6" s="119">
        <v>5.0802139037433157E-2</v>
      </c>
      <c r="I6" s="120">
        <f t="shared" si="2"/>
        <v>5.0802139037433157E-2</v>
      </c>
      <c r="J6" s="121">
        <v>0.10631835305489264</v>
      </c>
      <c r="K6" s="122">
        <f t="shared" si="3"/>
        <v>0.10631835305489264</v>
      </c>
      <c r="L6" s="133">
        <f t="shared" si="4"/>
        <v>0.1122318845414171</v>
      </c>
      <c r="M6" s="134">
        <f t="shared" si="5"/>
        <v>14</v>
      </c>
    </row>
    <row r="7" spans="1:13">
      <c r="A7" s="140">
        <v>5</v>
      </c>
      <c r="B7" s="87" t="s">
        <v>18</v>
      </c>
      <c r="C7" s="143">
        <v>54414</v>
      </c>
      <c r="D7" s="115">
        <v>4.7447377602046752E-2</v>
      </c>
      <c r="E7" s="116">
        <f t="shared" si="0"/>
        <v>4.7447377602046752E-2</v>
      </c>
      <c r="F7" s="117">
        <v>0.175439347168312</v>
      </c>
      <c r="G7" s="118">
        <f t="shared" si="1"/>
        <v>0.175439347168312</v>
      </c>
      <c r="H7" s="119">
        <v>3.4759358288770054E-2</v>
      </c>
      <c r="I7" s="120">
        <f t="shared" si="2"/>
        <v>3.4759358288770054E-2</v>
      </c>
      <c r="J7" s="121">
        <v>0.10329096058583102</v>
      </c>
      <c r="K7" s="122">
        <f t="shared" si="3"/>
        <v>0.10329096058583102</v>
      </c>
      <c r="L7" s="133">
        <f t="shared" si="4"/>
        <v>9.0234260911239969E-2</v>
      </c>
      <c r="M7" s="134">
        <f t="shared" si="5"/>
        <v>12</v>
      </c>
    </row>
    <row r="8" spans="1:13">
      <c r="A8" s="140">
        <v>6</v>
      </c>
      <c r="B8" s="87" t="s">
        <v>19</v>
      </c>
      <c r="C8" s="143">
        <v>8245</v>
      </c>
      <c r="D8" s="115">
        <v>1.4866069698026903E-2</v>
      </c>
      <c r="E8" s="116">
        <f t="shared" si="0"/>
        <v>1.4866069698026903E-2</v>
      </c>
      <c r="F8" s="117">
        <v>0</v>
      </c>
      <c r="G8" s="118">
        <f t="shared" si="1"/>
        <v>0</v>
      </c>
      <c r="H8" s="119">
        <v>1.06951871657754E-2</v>
      </c>
      <c r="I8" s="120">
        <f t="shared" si="2"/>
        <v>1.06951871657754E-2</v>
      </c>
      <c r="J8" s="121">
        <v>1.3324662447896977E-2</v>
      </c>
      <c r="K8" s="122">
        <f t="shared" si="3"/>
        <v>1.3324662447896977E-2</v>
      </c>
      <c r="L8" s="133">
        <f t="shared" si="4"/>
        <v>9.7214798279248206E-3</v>
      </c>
      <c r="M8" s="134">
        <f t="shared" si="5"/>
        <v>3</v>
      </c>
    </row>
    <row r="9" spans="1:13">
      <c r="A9" s="140">
        <v>7</v>
      </c>
      <c r="B9" s="87" t="s">
        <v>20</v>
      </c>
      <c r="C9" s="143">
        <v>72047</v>
      </c>
      <c r="D9" s="115">
        <v>4.2252975152149472E-2</v>
      </c>
      <c r="E9" s="116">
        <f t="shared" si="0"/>
        <v>4.2252975152149472E-2</v>
      </c>
      <c r="F9" s="117">
        <v>3.5270026590054709E-2</v>
      </c>
      <c r="G9" s="118">
        <f t="shared" si="1"/>
        <v>3.5270026590054709E-2</v>
      </c>
      <c r="H9" s="119">
        <v>0.15240641711229946</v>
      </c>
      <c r="I9" s="120">
        <f t="shared" si="2"/>
        <v>0.15240641711229946</v>
      </c>
      <c r="J9" s="121">
        <v>0.14987205953071314</v>
      </c>
      <c r="K9" s="122">
        <f t="shared" si="3"/>
        <v>0.14987205953071314</v>
      </c>
      <c r="L9" s="133">
        <f t="shared" si="4"/>
        <v>9.4950369596304193E-2</v>
      </c>
      <c r="M9" s="134">
        <f t="shared" si="5"/>
        <v>13</v>
      </c>
    </row>
    <row r="10" spans="1:13">
      <c r="A10" s="140">
        <v>8</v>
      </c>
      <c r="B10" s="87" t="s">
        <v>21</v>
      </c>
      <c r="C10" s="143">
        <v>15601</v>
      </c>
      <c r="D10" s="115">
        <v>2.7193084467186109E-2</v>
      </c>
      <c r="E10" s="116">
        <f t="shared" si="0"/>
        <v>2.7193084467186109E-2</v>
      </c>
      <c r="F10" s="117">
        <v>0</v>
      </c>
      <c r="G10" s="118">
        <f t="shared" si="1"/>
        <v>0</v>
      </c>
      <c r="H10" s="119">
        <v>4.2780748663101602E-2</v>
      </c>
      <c r="I10" s="120">
        <f t="shared" si="2"/>
        <v>4.2780748663101602E-2</v>
      </c>
      <c r="J10" s="121">
        <v>1.3884011900459984E-2</v>
      </c>
      <c r="K10" s="122">
        <f t="shared" si="3"/>
        <v>1.3884011900459984E-2</v>
      </c>
      <c r="L10" s="133">
        <f t="shared" si="4"/>
        <v>2.0964461257686924E-2</v>
      </c>
      <c r="M10" s="134">
        <f t="shared" si="5"/>
        <v>4</v>
      </c>
    </row>
    <row r="11" spans="1:13">
      <c r="A11" s="140">
        <v>11</v>
      </c>
      <c r="B11" s="87" t="s">
        <v>25</v>
      </c>
      <c r="C11" s="143">
        <v>17150</v>
      </c>
      <c r="D11" s="115">
        <v>5.8475791758731632E-2</v>
      </c>
      <c r="E11" s="116">
        <f t="shared" si="0"/>
        <v>5.8475791758731632E-2</v>
      </c>
      <c r="F11" s="117">
        <v>4.1627189095021239E-3</v>
      </c>
      <c r="G11" s="118">
        <f t="shared" si="1"/>
        <v>4.1627189095021239E-3</v>
      </c>
      <c r="H11" s="119">
        <v>1.871657754010695E-2</v>
      </c>
      <c r="I11" s="120">
        <f t="shared" si="2"/>
        <v>1.871657754010695E-2</v>
      </c>
      <c r="J11" s="121">
        <v>5.3649867551889482E-3</v>
      </c>
      <c r="K11" s="122">
        <f t="shared" si="3"/>
        <v>5.3649867551889482E-3</v>
      </c>
      <c r="L11" s="133">
        <f t="shared" si="4"/>
        <v>2.1680018740882413E-2</v>
      </c>
      <c r="M11" s="134">
        <f t="shared" si="5"/>
        <v>5</v>
      </c>
    </row>
    <row r="12" spans="1:13">
      <c r="A12" s="140">
        <v>12</v>
      </c>
      <c r="B12" s="87" t="s">
        <v>26</v>
      </c>
      <c r="C12" s="143">
        <v>5199</v>
      </c>
      <c r="D12" s="115">
        <v>1.2889095631274954E-2</v>
      </c>
      <c r="E12" s="116">
        <f t="shared" si="0"/>
        <v>1.2889095631274954E-2</v>
      </c>
      <c r="F12" s="117">
        <v>0</v>
      </c>
      <c r="G12" s="118">
        <f t="shared" si="1"/>
        <v>0</v>
      </c>
      <c r="H12" s="119">
        <v>1.6042780748663103E-2</v>
      </c>
      <c r="I12" s="120">
        <f t="shared" si="2"/>
        <v>1.6042780748663103E-2</v>
      </c>
      <c r="J12" s="121">
        <v>0</v>
      </c>
      <c r="K12" s="122">
        <f t="shared" si="3"/>
        <v>0</v>
      </c>
      <c r="L12" s="133">
        <f t="shared" si="4"/>
        <v>7.2329690949845139E-3</v>
      </c>
      <c r="M12" s="134">
        <f t="shared" si="5"/>
        <v>2</v>
      </c>
    </row>
    <row r="13" spans="1:13">
      <c r="A13" s="140">
        <v>13</v>
      </c>
      <c r="B13" s="87" t="s">
        <v>27</v>
      </c>
      <c r="C13" s="143">
        <v>40615</v>
      </c>
      <c r="D13" s="115">
        <v>0.19822072333992324</v>
      </c>
      <c r="E13" s="116">
        <f t="shared" si="0"/>
        <v>0.19822072333992324</v>
      </c>
      <c r="F13" s="117">
        <v>0.28893303585072894</v>
      </c>
      <c r="G13" s="118">
        <f t="shared" si="1"/>
        <v>0.28893303585072894</v>
      </c>
      <c r="H13" s="119">
        <v>0.16310160427807488</v>
      </c>
      <c r="I13" s="120">
        <f t="shared" si="2"/>
        <v>0.16310160427807488</v>
      </c>
      <c r="J13" s="121">
        <v>0.10042236821230459</v>
      </c>
      <c r="K13" s="122">
        <f t="shared" si="3"/>
        <v>0.10042236821230459</v>
      </c>
      <c r="L13" s="133">
        <f t="shared" si="4"/>
        <v>0.18766943292025789</v>
      </c>
      <c r="M13" s="134">
        <f t="shared" si="5"/>
        <v>16</v>
      </c>
    </row>
    <row r="14" spans="1:13">
      <c r="A14" s="140">
        <v>14</v>
      </c>
      <c r="B14" s="87" t="s">
        <v>28</v>
      </c>
      <c r="C14" s="143">
        <v>12982</v>
      </c>
      <c r="D14" s="115">
        <v>3.0836919021591656E-2</v>
      </c>
      <c r="E14" s="116">
        <f t="shared" si="0"/>
        <v>3.0836919021591656E-2</v>
      </c>
      <c r="F14" s="117">
        <v>0</v>
      </c>
      <c r="G14" s="118">
        <f t="shared" si="1"/>
        <v>0</v>
      </c>
      <c r="H14" s="119">
        <v>3.7433155080213901E-2</v>
      </c>
      <c r="I14" s="120">
        <f t="shared" si="2"/>
        <v>3.7433155080213901E-2</v>
      </c>
      <c r="J14" s="121">
        <v>0.10618099927426472</v>
      </c>
      <c r="K14" s="122">
        <f t="shared" si="3"/>
        <v>0.10618099927426472</v>
      </c>
      <c r="L14" s="133">
        <f t="shared" si="4"/>
        <v>4.3612768344017568E-2</v>
      </c>
      <c r="M14" s="134">
        <f t="shared" si="5"/>
        <v>9</v>
      </c>
    </row>
    <row r="15" spans="1:13">
      <c r="A15" s="140">
        <v>15</v>
      </c>
      <c r="B15" s="87" t="s">
        <v>29</v>
      </c>
      <c r="C15" s="143">
        <v>23198</v>
      </c>
      <c r="D15" s="115">
        <v>0</v>
      </c>
      <c r="E15" s="116">
        <f t="shared" si="0"/>
        <v>0</v>
      </c>
      <c r="F15" s="117">
        <v>9.242336257220575E-2</v>
      </c>
      <c r="G15" s="118">
        <f t="shared" si="1"/>
        <v>9.242336257220575E-2</v>
      </c>
      <c r="H15" s="119">
        <v>6.684491978609626E-2</v>
      </c>
      <c r="I15" s="120">
        <f t="shared" si="2"/>
        <v>6.684491978609626E-2</v>
      </c>
      <c r="J15" s="121">
        <v>8.3224883187527476E-3</v>
      </c>
      <c r="K15" s="122">
        <f t="shared" si="3"/>
        <v>8.3224883187527476E-3</v>
      </c>
      <c r="L15" s="133">
        <f t="shared" si="4"/>
        <v>4.1897692669263686E-2</v>
      </c>
      <c r="M15" s="134">
        <f t="shared" si="5"/>
        <v>7</v>
      </c>
    </row>
    <row r="16" spans="1:13">
      <c r="A16" s="140">
        <v>16</v>
      </c>
      <c r="B16" s="87" t="s">
        <v>31</v>
      </c>
      <c r="C16" s="143">
        <v>3005</v>
      </c>
      <c r="D16" s="115">
        <v>4.3609722060704735E-3</v>
      </c>
      <c r="E16" s="116">
        <f t="shared" si="0"/>
        <v>4.3609722060704735E-3</v>
      </c>
      <c r="F16" s="117">
        <v>0</v>
      </c>
      <c r="G16" s="118">
        <f t="shared" si="1"/>
        <v>0</v>
      </c>
      <c r="H16" s="119">
        <v>1.06951871657754E-2</v>
      </c>
      <c r="I16" s="120">
        <f t="shared" si="2"/>
        <v>1.06951871657754E-2</v>
      </c>
      <c r="J16" s="121">
        <v>0</v>
      </c>
      <c r="K16" s="122">
        <f t="shared" si="3"/>
        <v>0</v>
      </c>
      <c r="L16" s="133">
        <f t="shared" si="4"/>
        <v>3.7640398429614683E-3</v>
      </c>
      <c r="M16" s="134">
        <f t="shared" si="5"/>
        <v>1</v>
      </c>
    </row>
    <row r="17" spans="1:15">
      <c r="A17" s="140">
        <v>17</v>
      </c>
      <c r="B17" s="87" t="s">
        <v>32</v>
      </c>
      <c r="C17" s="143">
        <v>17076</v>
      </c>
      <c r="D17" s="115">
        <v>8.0629530565569638E-2</v>
      </c>
      <c r="E17" s="116">
        <f t="shared" si="0"/>
        <v>8.0629530565569638E-2</v>
      </c>
      <c r="F17" s="117">
        <v>4.7440325193312753E-2</v>
      </c>
      <c r="G17" s="118">
        <f t="shared" si="1"/>
        <v>4.7440325193312753E-2</v>
      </c>
      <c r="H17" s="119">
        <v>3.7433155080213901E-2</v>
      </c>
      <c r="I17" s="120">
        <f t="shared" si="2"/>
        <v>3.7433155080213901E-2</v>
      </c>
      <c r="J17" s="121">
        <v>1.338254094762723E-2</v>
      </c>
      <c r="K17" s="122">
        <f t="shared" si="3"/>
        <v>1.338254094762723E-2</v>
      </c>
      <c r="L17" s="133">
        <f t="shared" si="4"/>
        <v>4.4721387946680881E-2</v>
      </c>
      <c r="M17" s="134">
        <f t="shared" si="5"/>
        <v>10</v>
      </c>
    </row>
    <row r="18" spans="1:15" ht="15.75" thickBot="1">
      <c r="A18" s="141">
        <v>18</v>
      </c>
      <c r="B18" s="142" t="s">
        <v>33</v>
      </c>
      <c r="C18" s="145">
        <v>7869</v>
      </c>
      <c r="D18" s="123">
        <v>1.4071403651587393E-2</v>
      </c>
      <c r="E18" s="124">
        <f t="shared" si="0"/>
        <v>1.4071403651587393E-2</v>
      </c>
      <c r="F18" s="125">
        <v>3.4023044714080505E-2</v>
      </c>
      <c r="G18" s="126">
        <f t="shared" si="1"/>
        <v>3.4023044714080505E-2</v>
      </c>
      <c r="H18" s="127">
        <v>3.2085561497326207E-2</v>
      </c>
      <c r="I18" s="128">
        <f t="shared" si="2"/>
        <v>3.2085561497326207E-2</v>
      </c>
      <c r="J18" s="129">
        <v>8.0098157727928262E-2</v>
      </c>
      <c r="K18" s="130">
        <f t="shared" si="3"/>
        <v>8.0098157727928262E-2</v>
      </c>
      <c r="L18" s="135">
        <f t="shared" si="4"/>
        <v>4.0069541897730591E-2</v>
      </c>
      <c r="M18" s="136">
        <f t="shared" si="5"/>
        <v>6</v>
      </c>
    </row>
    <row r="19" spans="1:15" ht="15.75" thickTop="1"/>
    <row r="20" spans="1:15" s="76" customFormat="1" ht="21.75" customHeight="1">
      <c r="A20" s="161" t="s">
        <v>122</v>
      </c>
      <c r="B20" s="95"/>
      <c r="H20" s="96"/>
      <c r="I20" s="96"/>
      <c r="J20" s="96"/>
      <c r="K20" s="96"/>
      <c r="L20" s="96"/>
      <c r="M20" s="96"/>
    </row>
    <row r="21" spans="1:15">
      <c r="A21" s="71" t="s">
        <v>119</v>
      </c>
      <c r="B21" s="79">
        <v>1</v>
      </c>
    </row>
    <row r="22" spans="1:15">
      <c r="A22" s="80" t="s">
        <v>120</v>
      </c>
      <c r="B22" s="81">
        <v>1</v>
      </c>
    </row>
    <row r="23" spans="1:15">
      <c r="A23" s="82" t="s">
        <v>121</v>
      </c>
      <c r="B23" s="83">
        <v>1</v>
      </c>
    </row>
    <row r="24" spans="1:15">
      <c r="A24" s="68" t="s">
        <v>117</v>
      </c>
      <c r="B24" s="84">
        <v>1</v>
      </c>
    </row>
    <row r="25" spans="1:15">
      <c r="A25" s="85" t="s">
        <v>129</v>
      </c>
      <c r="B25" s="86">
        <f>SUM(Weights)</f>
        <v>4</v>
      </c>
    </row>
    <row r="27" spans="1:15" ht="21" customHeight="1">
      <c r="A27" s="161" t="s">
        <v>132</v>
      </c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O27" s="97" t="s">
        <v>142</v>
      </c>
    </row>
    <row r="28" spans="1:15" ht="33.75" customHeight="1" thickBot="1">
      <c r="A28" s="146" t="s">
        <v>143</v>
      </c>
      <c r="B28" s="92" t="s">
        <v>131</v>
      </c>
      <c r="C28" s="93" t="s">
        <v>122</v>
      </c>
      <c r="D28" s="89"/>
      <c r="E28" s="89"/>
      <c r="F28" s="89"/>
      <c r="G28" s="89"/>
      <c r="H28" s="89"/>
      <c r="I28" s="89"/>
      <c r="J28" s="89"/>
      <c r="K28" s="89"/>
      <c r="L28" s="89"/>
      <c r="M28" s="89"/>
    </row>
    <row r="29" spans="1:15" ht="41.25" customHeight="1" thickTop="1" thickBot="1">
      <c r="A29" s="90">
        <v>1</v>
      </c>
      <c r="B29" s="98">
        <f>RANK(INDEX(Composite2,$A$29,1),Composite2,1)</f>
        <v>11</v>
      </c>
      <c r="C29" s="99">
        <v>0</v>
      </c>
      <c r="D29" s="99">
        <v>0.5</v>
      </c>
      <c r="E29" s="99">
        <v>1</v>
      </c>
      <c r="F29" s="99">
        <v>1.5</v>
      </c>
      <c r="G29" s="99">
        <v>2</v>
      </c>
      <c r="H29" s="99">
        <v>2.5</v>
      </c>
      <c r="I29" s="99">
        <v>3</v>
      </c>
      <c r="J29" s="99">
        <v>3.5</v>
      </c>
      <c r="K29" s="99">
        <v>4</v>
      </c>
      <c r="L29" s="99">
        <v>4.5</v>
      </c>
      <c r="M29" s="100">
        <v>5</v>
      </c>
      <c r="O29" s="106"/>
    </row>
    <row r="30" spans="1:15" ht="15.75" thickTop="1">
      <c r="A30" s="77" t="s">
        <v>13</v>
      </c>
      <c r="B30" s="101">
        <v>1</v>
      </c>
      <c r="C30" s="75">
        <f t="dataTable" ref="C30:M45" dt2D="1" dtr="1" r1="B24" r2="A29"/>
        <v>13</v>
      </c>
      <c r="D30" s="75">
        <v>13</v>
      </c>
      <c r="E30" s="75">
        <v>11</v>
      </c>
      <c r="F30" s="75">
        <v>11</v>
      </c>
      <c r="G30" s="75">
        <v>11</v>
      </c>
      <c r="H30" s="75">
        <v>11</v>
      </c>
      <c r="I30" s="75">
        <v>10</v>
      </c>
      <c r="J30" s="75">
        <v>9</v>
      </c>
      <c r="K30" s="75">
        <v>8</v>
      </c>
      <c r="L30" s="75">
        <v>8</v>
      </c>
      <c r="M30" s="102">
        <v>8</v>
      </c>
      <c r="O30" t="s">
        <v>133</v>
      </c>
    </row>
    <row r="31" spans="1:15">
      <c r="A31" s="77" t="s">
        <v>15</v>
      </c>
      <c r="B31" s="101">
        <v>2</v>
      </c>
      <c r="C31" s="75">
        <v>6</v>
      </c>
      <c r="D31" s="75">
        <v>8</v>
      </c>
      <c r="E31" s="75">
        <v>8</v>
      </c>
      <c r="F31" s="75">
        <v>9</v>
      </c>
      <c r="G31" s="75">
        <v>9</v>
      </c>
      <c r="H31" s="75">
        <v>9</v>
      </c>
      <c r="I31" s="75">
        <v>9</v>
      </c>
      <c r="J31" s="75">
        <v>10</v>
      </c>
      <c r="K31" s="75">
        <v>10</v>
      </c>
      <c r="L31" s="75">
        <v>10</v>
      </c>
      <c r="M31" s="102">
        <v>10</v>
      </c>
      <c r="O31" t="s">
        <v>134</v>
      </c>
    </row>
    <row r="32" spans="1:15">
      <c r="A32" s="77" t="s">
        <v>16</v>
      </c>
      <c r="B32" s="101">
        <v>3</v>
      </c>
      <c r="C32" s="75">
        <v>15</v>
      </c>
      <c r="D32" s="75">
        <v>15</v>
      </c>
      <c r="E32" s="75">
        <v>15</v>
      </c>
      <c r="F32" s="75">
        <v>15</v>
      </c>
      <c r="G32" s="75">
        <v>15</v>
      </c>
      <c r="H32" s="75">
        <v>16</v>
      </c>
      <c r="I32" s="75">
        <v>16</v>
      </c>
      <c r="J32" s="75">
        <v>16</v>
      </c>
      <c r="K32" s="75">
        <v>16</v>
      </c>
      <c r="L32" s="75">
        <v>16</v>
      </c>
      <c r="M32" s="102">
        <v>16</v>
      </c>
    </row>
    <row r="33" spans="1:15">
      <c r="A33" s="77" t="s">
        <v>17</v>
      </c>
      <c r="B33" s="101">
        <v>4</v>
      </c>
      <c r="C33" s="75">
        <v>14</v>
      </c>
      <c r="D33" s="75">
        <v>14</v>
      </c>
      <c r="E33" s="75">
        <v>14</v>
      </c>
      <c r="F33" s="75">
        <v>14</v>
      </c>
      <c r="G33" s="75">
        <v>14</v>
      </c>
      <c r="H33" s="75">
        <v>14</v>
      </c>
      <c r="I33" s="75">
        <v>13</v>
      </c>
      <c r="J33" s="75">
        <v>13</v>
      </c>
      <c r="K33" s="75">
        <v>13</v>
      </c>
      <c r="L33" s="75">
        <v>13</v>
      </c>
      <c r="M33" s="102">
        <v>13</v>
      </c>
      <c r="O33" t="s">
        <v>135</v>
      </c>
    </row>
    <row r="34" spans="1:15">
      <c r="A34" s="77" t="s">
        <v>18</v>
      </c>
      <c r="B34" s="101">
        <v>5</v>
      </c>
      <c r="C34" s="75">
        <v>12</v>
      </c>
      <c r="D34" s="75">
        <v>12</v>
      </c>
      <c r="E34" s="75">
        <v>12</v>
      </c>
      <c r="F34" s="75">
        <v>12</v>
      </c>
      <c r="G34" s="75">
        <v>12</v>
      </c>
      <c r="H34" s="75">
        <v>12</v>
      </c>
      <c r="I34" s="75">
        <v>12</v>
      </c>
      <c r="J34" s="75">
        <v>12</v>
      </c>
      <c r="K34" s="75">
        <v>12</v>
      </c>
      <c r="L34" s="75">
        <v>12</v>
      </c>
      <c r="M34" s="102">
        <v>12</v>
      </c>
      <c r="O34" t="s">
        <v>137</v>
      </c>
    </row>
    <row r="35" spans="1:15">
      <c r="A35" s="77" t="s">
        <v>19</v>
      </c>
      <c r="B35" s="101">
        <v>6</v>
      </c>
      <c r="C35" s="75">
        <v>2</v>
      </c>
      <c r="D35" s="75">
        <v>3</v>
      </c>
      <c r="E35" s="75">
        <v>3</v>
      </c>
      <c r="F35" s="75">
        <v>3</v>
      </c>
      <c r="G35" s="75">
        <v>3</v>
      </c>
      <c r="H35" s="75">
        <v>3</v>
      </c>
      <c r="I35" s="75">
        <v>3</v>
      </c>
      <c r="J35" s="75">
        <v>3</v>
      </c>
      <c r="K35" s="75">
        <v>3</v>
      </c>
      <c r="L35" s="75">
        <v>3</v>
      </c>
      <c r="M35" s="102">
        <v>3</v>
      </c>
      <c r="O35" t="s">
        <v>136</v>
      </c>
    </row>
    <row r="36" spans="1:15">
      <c r="A36" s="77" t="s">
        <v>20</v>
      </c>
      <c r="B36" s="101">
        <v>7</v>
      </c>
      <c r="C36" s="75">
        <v>11</v>
      </c>
      <c r="D36" s="75">
        <v>11</v>
      </c>
      <c r="E36" s="75">
        <v>13</v>
      </c>
      <c r="F36" s="75">
        <v>13</v>
      </c>
      <c r="G36" s="75">
        <v>13</v>
      </c>
      <c r="H36" s="75">
        <v>13</v>
      </c>
      <c r="I36" s="75">
        <v>14</v>
      </c>
      <c r="J36" s="75">
        <v>14</v>
      </c>
      <c r="K36" s="75">
        <v>14</v>
      </c>
      <c r="L36" s="75">
        <v>14</v>
      </c>
      <c r="M36" s="102">
        <v>14</v>
      </c>
    </row>
    <row r="37" spans="1:15">
      <c r="A37" s="77" t="s">
        <v>21</v>
      </c>
      <c r="B37" s="101">
        <v>8</v>
      </c>
      <c r="C37" s="75">
        <v>5</v>
      </c>
      <c r="D37" s="75">
        <v>4</v>
      </c>
      <c r="E37" s="75">
        <v>4</v>
      </c>
      <c r="F37" s="75">
        <v>5</v>
      </c>
      <c r="G37" s="75">
        <v>5</v>
      </c>
      <c r="H37" s="75">
        <v>5</v>
      </c>
      <c r="I37" s="75">
        <v>5</v>
      </c>
      <c r="J37" s="75">
        <v>5</v>
      </c>
      <c r="K37" s="75">
        <v>5</v>
      </c>
      <c r="L37" s="75">
        <v>5</v>
      </c>
      <c r="M37" s="102">
        <v>5</v>
      </c>
      <c r="O37" t="s">
        <v>138</v>
      </c>
    </row>
    <row r="38" spans="1:15">
      <c r="A38" s="77" t="s">
        <v>25</v>
      </c>
      <c r="B38" s="101">
        <v>9</v>
      </c>
      <c r="C38" s="75">
        <v>8</v>
      </c>
      <c r="D38" s="75">
        <v>5</v>
      </c>
      <c r="E38" s="75">
        <v>5</v>
      </c>
      <c r="F38" s="75">
        <v>4</v>
      </c>
      <c r="G38" s="75">
        <v>4</v>
      </c>
      <c r="H38" s="75">
        <v>4</v>
      </c>
      <c r="I38" s="75">
        <v>4</v>
      </c>
      <c r="J38" s="75">
        <v>4</v>
      </c>
      <c r="K38" s="75">
        <v>4</v>
      </c>
      <c r="L38" s="75">
        <v>4</v>
      </c>
      <c r="M38" s="102">
        <v>4</v>
      </c>
    </row>
    <row r="39" spans="1:15">
      <c r="A39" s="77" t="s">
        <v>26</v>
      </c>
      <c r="B39" s="101">
        <v>10</v>
      </c>
      <c r="C39" s="75">
        <v>3</v>
      </c>
      <c r="D39" s="75">
        <v>2</v>
      </c>
      <c r="E39" s="75">
        <v>2</v>
      </c>
      <c r="F39" s="75">
        <v>2</v>
      </c>
      <c r="G39" s="75">
        <v>2</v>
      </c>
      <c r="H39" s="75">
        <v>2</v>
      </c>
      <c r="I39" s="75">
        <v>2</v>
      </c>
      <c r="J39" s="75">
        <v>2</v>
      </c>
      <c r="K39" s="75">
        <v>2</v>
      </c>
      <c r="L39" s="75">
        <v>2</v>
      </c>
      <c r="M39" s="102">
        <v>2</v>
      </c>
    </row>
    <row r="40" spans="1:15">
      <c r="A40" s="77" t="s">
        <v>27</v>
      </c>
      <c r="B40" s="101">
        <v>11</v>
      </c>
      <c r="C40" s="75">
        <v>16</v>
      </c>
      <c r="D40" s="75">
        <v>16</v>
      </c>
      <c r="E40" s="75">
        <v>16</v>
      </c>
      <c r="F40" s="75">
        <v>16</v>
      </c>
      <c r="G40" s="75">
        <v>16</v>
      </c>
      <c r="H40" s="75">
        <v>15</v>
      </c>
      <c r="I40" s="75">
        <v>15</v>
      </c>
      <c r="J40" s="75">
        <v>15</v>
      </c>
      <c r="K40" s="75">
        <v>15</v>
      </c>
      <c r="L40" s="75">
        <v>15</v>
      </c>
      <c r="M40" s="102">
        <v>15</v>
      </c>
    </row>
    <row r="41" spans="1:15">
      <c r="A41" s="77" t="s">
        <v>28</v>
      </c>
      <c r="B41" s="101">
        <v>12</v>
      </c>
      <c r="C41" s="75">
        <v>4</v>
      </c>
      <c r="D41" s="75">
        <v>7</v>
      </c>
      <c r="E41" s="75">
        <v>9</v>
      </c>
      <c r="F41" s="75">
        <v>10</v>
      </c>
      <c r="G41" s="75">
        <v>10</v>
      </c>
      <c r="H41" s="75">
        <v>10</v>
      </c>
      <c r="I41" s="75">
        <v>11</v>
      </c>
      <c r="J41" s="75">
        <v>11</v>
      </c>
      <c r="K41" s="75">
        <v>11</v>
      </c>
      <c r="L41" s="75">
        <v>11</v>
      </c>
      <c r="M41" s="102">
        <v>11</v>
      </c>
    </row>
    <row r="42" spans="1:15">
      <c r="A42" s="77" t="s">
        <v>29</v>
      </c>
      <c r="B42" s="101">
        <v>13</v>
      </c>
      <c r="C42" s="75">
        <v>9</v>
      </c>
      <c r="D42" s="75">
        <v>9</v>
      </c>
      <c r="E42" s="75">
        <v>7</v>
      </c>
      <c r="F42" s="75">
        <v>6</v>
      </c>
      <c r="G42" s="75">
        <v>6</v>
      </c>
      <c r="H42" s="75">
        <v>6</v>
      </c>
      <c r="I42" s="75">
        <v>6</v>
      </c>
      <c r="J42" s="75">
        <v>6</v>
      </c>
      <c r="K42" s="75">
        <v>6</v>
      </c>
      <c r="L42" s="75">
        <v>6</v>
      </c>
      <c r="M42" s="102">
        <v>6</v>
      </c>
    </row>
    <row r="43" spans="1:15">
      <c r="A43" s="77" t="s">
        <v>31</v>
      </c>
      <c r="B43" s="101">
        <v>14</v>
      </c>
      <c r="C43" s="75">
        <v>1</v>
      </c>
      <c r="D43" s="75">
        <v>1</v>
      </c>
      <c r="E43" s="75">
        <v>1</v>
      </c>
      <c r="F43" s="75">
        <v>1</v>
      </c>
      <c r="G43" s="75">
        <v>1</v>
      </c>
      <c r="H43" s="75">
        <v>1</v>
      </c>
      <c r="I43" s="75">
        <v>1</v>
      </c>
      <c r="J43" s="75">
        <v>1</v>
      </c>
      <c r="K43" s="75">
        <v>1</v>
      </c>
      <c r="L43" s="75">
        <v>1</v>
      </c>
      <c r="M43" s="102">
        <v>1</v>
      </c>
    </row>
    <row r="44" spans="1:15">
      <c r="A44" s="77" t="s">
        <v>32</v>
      </c>
      <c r="B44" s="101">
        <v>15</v>
      </c>
      <c r="C44" s="75">
        <v>10</v>
      </c>
      <c r="D44" s="75">
        <v>10</v>
      </c>
      <c r="E44" s="75">
        <v>10</v>
      </c>
      <c r="F44" s="75">
        <v>7</v>
      </c>
      <c r="G44" s="75">
        <v>7</v>
      </c>
      <c r="H44" s="75">
        <v>7</v>
      </c>
      <c r="I44" s="75">
        <v>7</v>
      </c>
      <c r="J44" s="75">
        <v>7</v>
      </c>
      <c r="K44" s="75">
        <v>7</v>
      </c>
      <c r="L44" s="75">
        <v>7</v>
      </c>
      <c r="M44" s="102">
        <v>7</v>
      </c>
    </row>
    <row r="45" spans="1:15" ht="15.75" thickBot="1">
      <c r="A45" s="77" t="s">
        <v>33</v>
      </c>
      <c r="B45" s="103">
        <v>16</v>
      </c>
      <c r="C45" s="104">
        <v>7</v>
      </c>
      <c r="D45" s="104">
        <v>6</v>
      </c>
      <c r="E45" s="104">
        <v>6</v>
      </c>
      <c r="F45" s="104">
        <v>8</v>
      </c>
      <c r="G45" s="104">
        <v>8</v>
      </c>
      <c r="H45" s="104">
        <v>8</v>
      </c>
      <c r="I45" s="104">
        <v>8</v>
      </c>
      <c r="J45" s="104">
        <v>8</v>
      </c>
      <c r="K45" s="104">
        <v>9</v>
      </c>
      <c r="L45" s="104">
        <v>9</v>
      </c>
      <c r="M45" s="105">
        <v>9</v>
      </c>
    </row>
    <row r="46" spans="1:15" ht="15.75" thickTop="1"/>
    <row r="48" spans="1:15" ht="21" customHeight="1">
      <c r="A48" s="161" t="s">
        <v>145</v>
      </c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</row>
    <row r="49" spans="1:15" ht="15.75" thickBot="1">
      <c r="A49" s="146"/>
      <c r="B49" s="92"/>
      <c r="C49" s="93" t="s">
        <v>122</v>
      </c>
      <c r="D49" s="89"/>
      <c r="E49" s="89"/>
      <c r="F49" s="89"/>
      <c r="G49" s="89"/>
      <c r="H49" s="89"/>
      <c r="I49" s="89"/>
      <c r="J49" s="89"/>
      <c r="K49" s="89"/>
      <c r="L49" s="89"/>
      <c r="M49" s="89"/>
    </row>
    <row r="50" spans="1:15" ht="39.75" customHeight="1" thickBot="1">
      <c r="A50" s="90"/>
      <c r="B50" s="91" t="s">
        <v>144</v>
      </c>
      <c r="C50" s="88">
        <v>0</v>
      </c>
      <c r="D50" s="88">
        <v>0.5</v>
      </c>
      <c r="E50" s="157">
        <v>1</v>
      </c>
      <c r="F50" s="88">
        <v>1.5</v>
      </c>
      <c r="G50" s="88">
        <v>2</v>
      </c>
      <c r="H50" s="88">
        <v>2.5</v>
      </c>
      <c r="I50" s="88">
        <v>3</v>
      </c>
      <c r="J50" s="88">
        <v>3.5</v>
      </c>
      <c r="K50" s="88">
        <v>4</v>
      </c>
      <c r="L50" s="88">
        <v>4.5</v>
      </c>
      <c r="M50" s="88">
        <v>5</v>
      </c>
      <c r="O50" t="s">
        <v>139</v>
      </c>
    </row>
    <row r="51" spans="1:15" ht="15.75" thickTop="1">
      <c r="A51" s="147" t="s">
        <v>27</v>
      </c>
      <c r="B51" s="148">
        <v>11</v>
      </c>
      <c r="C51" s="149">
        <v>16</v>
      </c>
      <c r="D51" s="149">
        <v>16</v>
      </c>
      <c r="E51" s="158">
        <v>16</v>
      </c>
      <c r="F51" s="149">
        <v>16</v>
      </c>
      <c r="G51" s="149">
        <v>16</v>
      </c>
      <c r="H51" s="149">
        <v>15</v>
      </c>
      <c r="I51" s="149">
        <v>15</v>
      </c>
      <c r="J51" s="149">
        <v>15</v>
      </c>
      <c r="K51" s="149">
        <v>15</v>
      </c>
      <c r="L51" s="149">
        <v>15</v>
      </c>
      <c r="M51" s="150">
        <v>15</v>
      </c>
      <c r="O51" t="s">
        <v>140</v>
      </c>
    </row>
    <row r="52" spans="1:15">
      <c r="A52" s="151" t="s">
        <v>16</v>
      </c>
      <c r="B52" s="94">
        <v>3</v>
      </c>
      <c r="C52" s="75">
        <v>15</v>
      </c>
      <c r="D52" s="75">
        <v>15</v>
      </c>
      <c r="E52" s="159">
        <v>15</v>
      </c>
      <c r="F52" s="75">
        <v>15</v>
      </c>
      <c r="G52" s="75">
        <v>15</v>
      </c>
      <c r="H52" s="75">
        <v>16</v>
      </c>
      <c r="I52" s="75">
        <v>16</v>
      </c>
      <c r="J52" s="75">
        <v>16</v>
      </c>
      <c r="K52" s="75">
        <v>16</v>
      </c>
      <c r="L52" s="75">
        <v>16</v>
      </c>
      <c r="M52" s="152">
        <v>16</v>
      </c>
      <c r="O52" t="s">
        <v>141</v>
      </c>
    </row>
    <row r="53" spans="1:15">
      <c r="A53" s="151" t="s">
        <v>17</v>
      </c>
      <c r="B53" s="94">
        <v>4</v>
      </c>
      <c r="C53" s="75">
        <v>14</v>
      </c>
      <c r="D53" s="75">
        <v>14</v>
      </c>
      <c r="E53" s="159">
        <v>14</v>
      </c>
      <c r="F53" s="75">
        <v>14</v>
      </c>
      <c r="G53" s="75">
        <v>14</v>
      </c>
      <c r="H53" s="75">
        <v>14</v>
      </c>
      <c r="I53" s="75">
        <v>13</v>
      </c>
      <c r="J53" s="75">
        <v>13</v>
      </c>
      <c r="K53" s="75">
        <v>13</v>
      </c>
      <c r="L53" s="75">
        <v>13</v>
      </c>
      <c r="M53" s="152">
        <v>13</v>
      </c>
    </row>
    <row r="54" spans="1:15">
      <c r="A54" s="151" t="s">
        <v>20</v>
      </c>
      <c r="B54" s="94">
        <v>7</v>
      </c>
      <c r="C54" s="75">
        <v>11</v>
      </c>
      <c r="D54" s="75">
        <v>11</v>
      </c>
      <c r="E54" s="159">
        <v>13</v>
      </c>
      <c r="F54" s="75">
        <v>13</v>
      </c>
      <c r="G54" s="75">
        <v>13</v>
      </c>
      <c r="H54" s="75">
        <v>13</v>
      </c>
      <c r="I54" s="75">
        <v>14</v>
      </c>
      <c r="J54" s="75">
        <v>14</v>
      </c>
      <c r="K54" s="75">
        <v>14</v>
      </c>
      <c r="L54" s="75">
        <v>14</v>
      </c>
      <c r="M54" s="152">
        <v>14</v>
      </c>
    </row>
    <row r="55" spans="1:15">
      <c r="A55" s="151" t="s">
        <v>18</v>
      </c>
      <c r="B55" s="94">
        <v>5</v>
      </c>
      <c r="C55" s="75">
        <v>12</v>
      </c>
      <c r="D55" s="75">
        <v>12</v>
      </c>
      <c r="E55" s="159">
        <v>12</v>
      </c>
      <c r="F55" s="75">
        <v>12</v>
      </c>
      <c r="G55" s="75">
        <v>12</v>
      </c>
      <c r="H55" s="75">
        <v>12</v>
      </c>
      <c r="I55" s="75">
        <v>12</v>
      </c>
      <c r="J55" s="75">
        <v>12</v>
      </c>
      <c r="K55" s="75">
        <v>12</v>
      </c>
      <c r="L55" s="75">
        <v>12</v>
      </c>
      <c r="M55" s="152">
        <v>12</v>
      </c>
    </row>
    <row r="56" spans="1:15">
      <c r="A56" s="151" t="s">
        <v>13</v>
      </c>
      <c r="B56" s="94">
        <v>1</v>
      </c>
      <c r="C56" s="75">
        <v>13</v>
      </c>
      <c r="D56" s="75">
        <v>13</v>
      </c>
      <c r="E56" s="159">
        <v>11</v>
      </c>
      <c r="F56" s="75">
        <v>11</v>
      </c>
      <c r="G56" s="75">
        <v>11</v>
      </c>
      <c r="H56" s="75">
        <v>11</v>
      </c>
      <c r="I56" s="75">
        <v>10</v>
      </c>
      <c r="J56" s="75">
        <v>9</v>
      </c>
      <c r="K56" s="75">
        <v>8</v>
      </c>
      <c r="L56" s="75">
        <v>8</v>
      </c>
      <c r="M56" s="152">
        <v>8</v>
      </c>
    </row>
    <row r="57" spans="1:15">
      <c r="A57" s="151" t="s">
        <v>32</v>
      </c>
      <c r="B57" s="94">
        <v>15</v>
      </c>
      <c r="C57" s="75">
        <v>10</v>
      </c>
      <c r="D57" s="75">
        <v>10</v>
      </c>
      <c r="E57" s="159">
        <v>10</v>
      </c>
      <c r="F57" s="75">
        <v>7</v>
      </c>
      <c r="G57" s="75">
        <v>7</v>
      </c>
      <c r="H57" s="75">
        <v>7</v>
      </c>
      <c r="I57" s="75">
        <v>7</v>
      </c>
      <c r="J57" s="75">
        <v>7</v>
      </c>
      <c r="K57" s="75">
        <v>7</v>
      </c>
      <c r="L57" s="75">
        <v>7</v>
      </c>
      <c r="M57" s="152">
        <v>7</v>
      </c>
    </row>
    <row r="58" spans="1:15">
      <c r="A58" s="151" t="s">
        <v>28</v>
      </c>
      <c r="B58" s="94">
        <v>12</v>
      </c>
      <c r="C58" s="75">
        <v>4</v>
      </c>
      <c r="D58" s="75">
        <v>7</v>
      </c>
      <c r="E58" s="159">
        <v>9</v>
      </c>
      <c r="F58" s="75">
        <v>10</v>
      </c>
      <c r="G58" s="75">
        <v>10</v>
      </c>
      <c r="H58" s="75">
        <v>10</v>
      </c>
      <c r="I58" s="75">
        <v>11</v>
      </c>
      <c r="J58" s="75">
        <v>11</v>
      </c>
      <c r="K58" s="75">
        <v>11</v>
      </c>
      <c r="L58" s="75">
        <v>11</v>
      </c>
      <c r="M58" s="152">
        <v>11</v>
      </c>
    </row>
    <row r="59" spans="1:15">
      <c r="A59" s="151" t="s">
        <v>15</v>
      </c>
      <c r="B59" s="94">
        <v>2</v>
      </c>
      <c r="C59" s="75">
        <v>6</v>
      </c>
      <c r="D59" s="75">
        <v>8</v>
      </c>
      <c r="E59" s="159">
        <v>8</v>
      </c>
      <c r="F59" s="75">
        <v>9</v>
      </c>
      <c r="G59" s="75">
        <v>9</v>
      </c>
      <c r="H59" s="75">
        <v>9</v>
      </c>
      <c r="I59" s="75">
        <v>9</v>
      </c>
      <c r="J59" s="75">
        <v>10</v>
      </c>
      <c r="K59" s="75">
        <v>10</v>
      </c>
      <c r="L59" s="75">
        <v>10</v>
      </c>
      <c r="M59" s="152">
        <v>10</v>
      </c>
    </row>
    <row r="60" spans="1:15">
      <c r="A60" s="151" t="s">
        <v>29</v>
      </c>
      <c r="B60" s="94">
        <v>13</v>
      </c>
      <c r="C60" s="75">
        <v>9</v>
      </c>
      <c r="D60" s="75">
        <v>9</v>
      </c>
      <c r="E60" s="159">
        <v>7</v>
      </c>
      <c r="F60" s="75">
        <v>6</v>
      </c>
      <c r="G60" s="75">
        <v>6</v>
      </c>
      <c r="H60" s="75">
        <v>6</v>
      </c>
      <c r="I60" s="75">
        <v>6</v>
      </c>
      <c r="J60" s="75">
        <v>6</v>
      </c>
      <c r="K60" s="75">
        <v>6</v>
      </c>
      <c r="L60" s="75">
        <v>6</v>
      </c>
      <c r="M60" s="152">
        <v>6</v>
      </c>
    </row>
    <row r="61" spans="1:15">
      <c r="A61" s="151" t="s">
        <v>33</v>
      </c>
      <c r="B61" s="94">
        <v>16</v>
      </c>
      <c r="C61" s="75">
        <v>7</v>
      </c>
      <c r="D61" s="75">
        <v>6</v>
      </c>
      <c r="E61" s="159">
        <v>6</v>
      </c>
      <c r="F61" s="75">
        <v>8</v>
      </c>
      <c r="G61" s="75">
        <v>8</v>
      </c>
      <c r="H61" s="75">
        <v>8</v>
      </c>
      <c r="I61" s="75">
        <v>8</v>
      </c>
      <c r="J61" s="75">
        <v>8</v>
      </c>
      <c r="K61" s="75">
        <v>9</v>
      </c>
      <c r="L61" s="75">
        <v>9</v>
      </c>
      <c r="M61" s="152">
        <v>9</v>
      </c>
    </row>
    <row r="62" spans="1:15">
      <c r="A62" s="151" t="s">
        <v>25</v>
      </c>
      <c r="B62" s="94">
        <v>9</v>
      </c>
      <c r="C62" s="75">
        <v>8</v>
      </c>
      <c r="D62" s="75">
        <v>5</v>
      </c>
      <c r="E62" s="159">
        <v>5</v>
      </c>
      <c r="F62" s="75">
        <v>4</v>
      </c>
      <c r="G62" s="75">
        <v>4</v>
      </c>
      <c r="H62" s="75">
        <v>4</v>
      </c>
      <c r="I62" s="75">
        <v>4</v>
      </c>
      <c r="J62" s="75">
        <v>4</v>
      </c>
      <c r="K62" s="75">
        <v>4</v>
      </c>
      <c r="L62" s="75">
        <v>4</v>
      </c>
      <c r="M62" s="152">
        <v>4</v>
      </c>
    </row>
    <row r="63" spans="1:15">
      <c r="A63" s="151" t="s">
        <v>21</v>
      </c>
      <c r="B63" s="94">
        <v>8</v>
      </c>
      <c r="C63" s="75">
        <v>5</v>
      </c>
      <c r="D63" s="75">
        <v>4</v>
      </c>
      <c r="E63" s="159">
        <v>4</v>
      </c>
      <c r="F63" s="75">
        <v>5</v>
      </c>
      <c r="G63" s="75">
        <v>5</v>
      </c>
      <c r="H63" s="75">
        <v>5</v>
      </c>
      <c r="I63" s="75">
        <v>5</v>
      </c>
      <c r="J63" s="75">
        <v>5</v>
      </c>
      <c r="K63" s="75">
        <v>5</v>
      </c>
      <c r="L63" s="75">
        <v>5</v>
      </c>
      <c r="M63" s="152">
        <v>5</v>
      </c>
    </row>
    <row r="64" spans="1:15">
      <c r="A64" s="151" t="s">
        <v>19</v>
      </c>
      <c r="B64" s="94">
        <v>6</v>
      </c>
      <c r="C64" s="75">
        <v>2</v>
      </c>
      <c r="D64" s="75">
        <v>3</v>
      </c>
      <c r="E64" s="159">
        <v>3</v>
      </c>
      <c r="F64" s="75">
        <v>3</v>
      </c>
      <c r="G64" s="75">
        <v>3</v>
      </c>
      <c r="H64" s="75">
        <v>3</v>
      </c>
      <c r="I64" s="75">
        <v>3</v>
      </c>
      <c r="J64" s="75">
        <v>3</v>
      </c>
      <c r="K64" s="75">
        <v>3</v>
      </c>
      <c r="L64" s="75">
        <v>3</v>
      </c>
      <c r="M64" s="152">
        <v>3</v>
      </c>
    </row>
    <row r="65" spans="1:13">
      <c r="A65" s="151" t="s">
        <v>26</v>
      </c>
      <c r="B65" s="94">
        <v>10</v>
      </c>
      <c r="C65" s="75">
        <v>3</v>
      </c>
      <c r="D65" s="75">
        <v>2</v>
      </c>
      <c r="E65" s="159">
        <v>2</v>
      </c>
      <c r="F65" s="75">
        <v>2</v>
      </c>
      <c r="G65" s="75">
        <v>2</v>
      </c>
      <c r="H65" s="75">
        <v>2</v>
      </c>
      <c r="I65" s="75">
        <v>2</v>
      </c>
      <c r="J65" s="75">
        <v>2</v>
      </c>
      <c r="K65" s="75">
        <v>2</v>
      </c>
      <c r="L65" s="75">
        <v>2</v>
      </c>
      <c r="M65" s="152">
        <v>2</v>
      </c>
    </row>
    <row r="66" spans="1:13" ht="15.75" thickBot="1">
      <c r="A66" s="153" t="s">
        <v>31</v>
      </c>
      <c r="B66" s="154">
        <v>14</v>
      </c>
      <c r="C66" s="155">
        <v>1</v>
      </c>
      <c r="D66" s="155">
        <v>1</v>
      </c>
      <c r="E66" s="160">
        <v>1</v>
      </c>
      <c r="F66" s="155">
        <v>1</v>
      </c>
      <c r="G66" s="155">
        <v>1</v>
      </c>
      <c r="H66" s="155">
        <v>1</v>
      </c>
      <c r="I66" s="155">
        <v>1</v>
      </c>
      <c r="J66" s="155">
        <v>1</v>
      </c>
      <c r="K66" s="155">
        <v>1</v>
      </c>
      <c r="L66" s="155">
        <v>1</v>
      </c>
      <c r="M66" s="156">
        <v>1</v>
      </c>
    </row>
    <row r="67" spans="1:13" ht="15.75" thickTop="1"/>
    <row r="69" spans="1:13" ht="18.75">
      <c r="A69" s="161" t="s">
        <v>185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</row>
    <row r="70" spans="1:13">
      <c r="A70" s="184" t="s">
        <v>10</v>
      </c>
      <c r="B70" s="184" t="s">
        <v>182</v>
      </c>
      <c r="C70" s="184" t="s">
        <v>183</v>
      </c>
      <c r="D70" s="184" t="s">
        <v>184</v>
      </c>
    </row>
    <row r="71" spans="1:13">
      <c r="A71" s="162" t="s">
        <v>31</v>
      </c>
      <c r="B71" s="162">
        <v>1</v>
      </c>
      <c r="C71" s="162">
        <v>1</v>
      </c>
      <c r="D71" s="162">
        <v>1</v>
      </c>
    </row>
    <row r="72" spans="1:13">
      <c r="A72" s="163" t="s">
        <v>26</v>
      </c>
      <c r="B72" s="163">
        <v>2</v>
      </c>
      <c r="C72" s="163">
        <v>2</v>
      </c>
      <c r="D72" s="163">
        <v>3</v>
      </c>
    </row>
    <row r="73" spans="1:13">
      <c r="A73" s="163" t="s">
        <v>19</v>
      </c>
      <c r="B73" s="163">
        <v>3</v>
      </c>
      <c r="C73" s="163">
        <v>2</v>
      </c>
      <c r="D73" s="163">
        <v>3</v>
      </c>
    </row>
    <row r="74" spans="1:13">
      <c r="A74" s="163" t="s">
        <v>21</v>
      </c>
      <c r="B74" s="163">
        <v>4</v>
      </c>
      <c r="C74" s="163">
        <v>4</v>
      </c>
      <c r="D74" s="163">
        <v>5</v>
      </c>
    </row>
    <row r="75" spans="1:13">
      <c r="A75" s="163" t="s">
        <v>25</v>
      </c>
      <c r="B75" s="163">
        <v>5</v>
      </c>
      <c r="C75" s="163">
        <v>4</v>
      </c>
      <c r="D75" s="163">
        <v>8</v>
      </c>
    </row>
    <row r="76" spans="1:13">
      <c r="A76" s="163" t="s">
        <v>33</v>
      </c>
      <c r="B76" s="163">
        <v>6</v>
      </c>
      <c r="C76" s="163">
        <v>6</v>
      </c>
      <c r="D76" s="163">
        <v>9</v>
      </c>
    </row>
    <row r="77" spans="1:13">
      <c r="A77" s="163" t="s">
        <v>29</v>
      </c>
      <c r="B77" s="163">
        <v>7</v>
      </c>
      <c r="C77" s="163">
        <v>6</v>
      </c>
      <c r="D77" s="163">
        <v>9</v>
      </c>
    </row>
    <row r="78" spans="1:13">
      <c r="A78" s="163" t="s">
        <v>15</v>
      </c>
      <c r="B78" s="163">
        <v>8</v>
      </c>
      <c r="C78" s="163">
        <v>6</v>
      </c>
      <c r="D78" s="163">
        <v>10</v>
      </c>
    </row>
    <row r="79" spans="1:13">
      <c r="A79" s="163" t="s">
        <v>28</v>
      </c>
      <c r="B79" s="163">
        <v>9</v>
      </c>
      <c r="C79" s="163">
        <v>4</v>
      </c>
      <c r="D79" s="163">
        <v>11</v>
      </c>
    </row>
    <row r="80" spans="1:13">
      <c r="A80" s="163" t="s">
        <v>32</v>
      </c>
      <c r="B80" s="163">
        <v>10</v>
      </c>
      <c r="C80" s="163">
        <v>7</v>
      </c>
      <c r="D80" s="163">
        <v>10</v>
      </c>
    </row>
    <row r="81" spans="1:4">
      <c r="A81" s="163" t="s">
        <v>13</v>
      </c>
      <c r="B81" s="163">
        <v>11</v>
      </c>
      <c r="C81" s="163">
        <v>8</v>
      </c>
      <c r="D81" s="163">
        <v>13</v>
      </c>
    </row>
    <row r="82" spans="1:4">
      <c r="A82" s="163" t="s">
        <v>18</v>
      </c>
      <c r="B82" s="163">
        <v>12</v>
      </c>
      <c r="C82" s="163">
        <v>12</v>
      </c>
      <c r="D82" s="163">
        <v>12</v>
      </c>
    </row>
    <row r="83" spans="1:4">
      <c r="A83" s="163" t="s">
        <v>20</v>
      </c>
      <c r="B83" s="163">
        <v>13</v>
      </c>
      <c r="C83" s="163">
        <v>11</v>
      </c>
      <c r="D83" s="163">
        <v>14</v>
      </c>
    </row>
    <row r="84" spans="1:4">
      <c r="A84" s="163" t="s">
        <v>17</v>
      </c>
      <c r="B84" s="163">
        <v>14</v>
      </c>
      <c r="C84" s="163">
        <v>13</v>
      </c>
      <c r="D84" s="163">
        <v>14</v>
      </c>
    </row>
    <row r="85" spans="1:4">
      <c r="A85" s="163" t="s">
        <v>16</v>
      </c>
      <c r="B85" s="163">
        <v>15</v>
      </c>
      <c r="C85" s="163">
        <v>15</v>
      </c>
      <c r="D85" s="163">
        <v>16</v>
      </c>
    </row>
    <row r="86" spans="1:4">
      <c r="A86" s="164" t="s">
        <v>27</v>
      </c>
      <c r="B86" s="164">
        <v>16</v>
      </c>
      <c r="C86" s="164">
        <v>15</v>
      </c>
      <c r="D86" s="164">
        <v>16</v>
      </c>
    </row>
  </sheetData>
  <sortState ref="A70:D85">
    <sortCondition ref="B70:B85"/>
  </sortState>
  <conditionalFormatting sqref="C30:M45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51:M66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51:M66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2:J19"/>
  <sheetViews>
    <sheetView workbookViewId="0"/>
  </sheetViews>
  <sheetFormatPr defaultRowHeight="15"/>
  <cols>
    <col min="1" max="1" width="20.140625" customWidth="1"/>
    <col min="2" max="10" width="4.5703125" customWidth="1"/>
  </cols>
  <sheetData>
    <row r="2" spans="1:10">
      <c r="A2" s="426" t="s">
        <v>10</v>
      </c>
      <c r="B2" s="69" t="s">
        <v>118</v>
      </c>
      <c r="C2" s="69"/>
      <c r="D2" s="69"/>
      <c r="E2" s="69"/>
      <c r="F2" s="69"/>
      <c r="G2" s="69"/>
      <c r="H2" s="69"/>
      <c r="I2" s="69"/>
      <c r="J2" s="69"/>
    </row>
    <row r="3" spans="1:10">
      <c r="A3" s="426"/>
      <c r="B3" s="69">
        <v>0</v>
      </c>
      <c r="C3" s="69">
        <v>0.5</v>
      </c>
      <c r="D3" s="74">
        <v>1</v>
      </c>
      <c r="E3" s="69">
        <v>1.5</v>
      </c>
      <c r="F3" s="69">
        <v>2</v>
      </c>
      <c r="G3" s="69">
        <v>2.5</v>
      </c>
      <c r="H3" s="69">
        <v>3</v>
      </c>
      <c r="I3" s="69">
        <v>3.5</v>
      </c>
      <c r="J3" s="69">
        <v>4</v>
      </c>
    </row>
    <row r="4" spans="1:10">
      <c r="A4" s="70" t="s">
        <v>27</v>
      </c>
      <c r="B4" s="67">
        <v>16</v>
      </c>
      <c r="C4" s="67">
        <v>16</v>
      </c>
      <c r="D4" s="72">
        <v>16</v>
      </c>
      <c r="E4" s="67">
        <v>16</v>
      </c>
      <c r="F4" s="67">
        <v>16</v>
      </c>
      <c r="G4" s="67">
        <v>15</v>
      </c>
      <c r="H4" s="67">
        <v>15</v>
      </c>
      <c r="I4" s="67">
        <v>15</v>
      </c>
      <c r="J4" s="67">
        <v>15</v>
      </c>
    </row>
    <row r="5" spans="1:10">
      <c r="A5" s="70" t="s">
        <v>16</v>
      </c>
      <c r="B5" s="67">
        <v>15</v>
      </c>
      <c r="C5" s="67">
        <v>15</v>
      </c>
      <c r="D5" s="72">
        <v>15</v>
      </c>
      <c r="E5" s="67">
        <v>15</v>
      </c>
      <c r="F5" s="67">
        <v>15</v>
      </c>
      <c r="G5" s="67">
        <v>16</v>
      </c>
      <c r="H5" s="67">
        <v>16</v>
      </c>
      <c r="I5" s="67">
        <v>16</v>
      </c>
      <c r="J5" s="67">
        <v>16</v>
      </c>
    </row>
    <row r="6" spans="1:10">
      <c r="A6" s="70" t="s">
        <v>17</v>
      </c>
      <c r="B6" s="67">
        <v>14</v>
      </c>
      <c r="C6" s="67">
        <v>14</v>
      </c>
      <c r="D6" s="72">
        <v>14</v>
      </c>
      <c r="E6" s="67">
        <v>14</v>
      </c>
      <c r="F6" s="67">
        <v>14</v>
      </c>
      <c r="G6" s="67">
        <v>14</v>
      </c>
      <c r="H6" s="67">
        <v>13</v>
      </c>
      <c r="I6" s="67">
        <v>13</v>
      </c>
      <c r="J6" s="67">
        <v>13</v>
      </c>
    </row>
    <row r="7" spans="1:10">
      <c r="A7" s="70" t="s">
        <v>20</v>
      </c>
      <c r="B7" s="67">
        <v>11</v>
      </c>
      <c r="C7" s="67">
        <v>11</v>
      </c>
      <c r="D7" s="72">
        <v>13</v>
      </c>
      <c r="E7" s="67">
        <v>13</v>
      </c>
      <c r="F7" s="67">
        <v>13</v>
      </c>
      <c r="G7" s="67">
        <v>13</v>
      </c>
      <c r="H7" s="67">
        <v>14</v>
      </c>
      <c r="I7" s="67">
        <v>14</v>
      </c>
      <c r="J7" s="67">
        <v>14</v>
      </c>
    </row>
    <row r="8" spans="1:10">
      <c r="A8" s="70" t="s">
        <v>18</v>
      </c>
      <c r="B8" s="67">
        <v>12</v>
      </c>
      <c r="C8" s="67">
        <v>12</v>
      </c>
      <c r="D8" s="72">
        <v>12</v>
      </c>
      <c r="E8" s="67">
        <v>12</v>
      </c>
      <c r="F8" s="67">
        <v>12</v>
      </c>
      <c r="G8" s="67">
        <v>12</v>
      </c>
      <c r="H8" s="67">
        <v>12</v>
      </c>
      <c r="I8" s="67">
        <v>12</v>
      </c>
      <c r="J8" s="67">
        <v>12</v>
      </c>
    </row>
    <row r="9" spans="1:10">
      <c r="A9" s="70" t="s">
        <v>13</v>
      </c>
      <c r="B9" s="67">
        <v>13</v>
      </c>
      <c r="C9" s="67">
        <v>13</v>
      </c>
      <c r="D9" s="72">
        <v>11</v>
      </c>
      <c r="E9" s="67">
        <v>11</v>
      </c>
      <c r="F9" s="67">
        <v>11</v>
      </c>
      <c r="G9" s="67">
        <v>11</v>
      </c>
      <c r="H9" s="67">
        <v>10</v>
      </c>
      <c r="I9" s="67">
        <v>9</v>
      </c>
      <c r="J9" s="67">
        <v>8</v>
      </c>
    </row>
    <row r="10" spans="1:10">
      <c r="A10" s="70" t="s">
        <v>32</v>
      </c>
      <c r="B10" s="67">
        <v>10</v>
      </c>
      <c r="C10" s="67">
        <v>10</v>
      </c>
      <c r="D10" s="72">
        <v>10</v>
      </c>
      <c r="E10" s="67">
        <v>7</v>
      </c>
      <c r="F10" s="67">
        <v>7</v>
      </c>
      <c r="G10" s="67">
        <v>7</v>
      </c>
      <c r="H10" s="67">
        <v>7</v>
      </c>
      <c r="I10" s="67">
        <v>7</v>
      </c>
      <c r="J10" s="67">
        <v>7</v>
      </c>
    </row>
    <row r="11" spans="1:10">
      <c r="A11" s="70" t="s">
        <v>28</v>
      </c>
      <c r="B11" s="67">
        <v>4</v>
      </c>
      <c r="C11" s="67">
        <v>7</v>
      </c>
      <c r="D11" s="72">
        <v>9</v>
      </c>
      <c r="E11" s="67">
        <v>10</v>
      </c>
      <c r="F11" s="67">
        <v>10</v>
      </c>
      <c r="G11" s="67">
        <v>10</v>
      </c>
      <c r="H11" s="67">
        <v>11</v>
      </c>
      <c r="I11" s="67">
        <v>11</v>
      </c>
      <c r="J11" s="67">
        <v>11</v>
      </c>
    </row>
    <row r="12" spans="1:10">
      <c r="A12" s="70" t="s">
        <v>15</v>
      </c>
      <c r="B12" s="67">
        <v>6</v>
      </c>
      <c r="C12" s="67">
        <v>8</v>
      </c>
      <c r="D12" s="72">
        <v>8</v>
      </c>
      <c r="E12" s="67">
        <v>9</v>
      </c>
      <c r="F12" s="67">
        <v>9</v>
      </c>
      <c r="G12" s="67">
        <v>9</v>
      </c>
      <c r="H12" s="67">
        <v>9</v>
      </c>
      <c r="I12" s="67">
        <v>10</v>
      </c>
      <c r="J12" s="67">
        <v>10</v>
      </c>
    </row>
    <row r="13" spans="1:10">
      <c r="A13" s="70" t="s">
        <v>29</v>
      </c>
      <c r="B13" s="67">
        <v>9</v>
      </c>
      <c r="C13" s="67">
        <v>9</v>
      </c>
      <c r="D13" s="72">
        <v>7</v>
      </c>
      <c r="E13" s="67">
        <v>6</v>
      </c>
      <c r="F13" s="67">
        <v>6</v>
      </c>
      <c r="G13" s="67">
        <v>6</v>
      </c>
      <c r="H13" s="67">
        <v>6</v>
      </c>
      <c r="I13" s="67">
        <v>6</v>
      </c>
      <c r="J13" s="67">
        <v>6</v>
      </c>
    </row>
    <row r="14" spans="1:10">
      <c r="A14" s="70" t="s">
        <v>33</v>
      </c>
      <c r="B14" s="67">
        <v>7</v>
      </c>
      <c r="C14" s="67">
        <v>6</v>
      </c>
      <c r="D14" s="72">
        <v>6</v>
      </c>
      <c r="E14" s="67">
        <v>8</v>
      </c>
      <c r="F14" s="67">
        <v>8</v>
      </c>
      <c r="G14" s="67">
        <v>8</v>
      </c>
      <c r="H14" s="67">
        <v>8</v>
      </c>
      <c r="I14" s="67">
        <v>8</v>
      </c>
      <c r="J14" s="67">
        <v>9</v>
      </c>
    </row>
    <row r="15" spans="1:10">
      <c r="A15" s="70" t="s">
        <v>25</v>
      </c>
      <c r="B15" s="67">
        <v>8</v>
      </c>
      <c r="C15" s="67">
        <v>5</v>
      </c>
      <c r="D15" s="72">
        <v>5</v>
      </c>
      <c r="E15" s="67">
        <v>4</v>
      </c>
      <c r="F15" s="67">
        <v>4</v>
      </c>
      <c r="G15" s="67">
        <v>4</v>
      </c>
      <c r="H15" s="67">
        <v>4</v>
      </c>
      <c r="I15" s="67">
        <v>4</v>
      </c>
      <c r="J15" s="67">
        <v>4</v>
      </c>
    </row>
    <row r="16" spans="1:10">
      <c r="A16" s="70" t="s">
        <v>21</v>
      </c>
      <c r="B16" s="67">
        <v>5</v>
      </c>
      <c r="C16" s="67">
        <v>4</v>
      </c>
      <c r="D16" s="72">
        <v>4</v>
      </c>
      <c r="E16" s="67">
        <v>5</v>
      </c>
      <c r="F16" s="67">
        <v>5</v>
      </c>
      <c r="G16" s="67">
        <v>5</v>
      </c>
      <c r="H16" s="67">
        <v>5</v>
      </c>
      <c r="I16" s="67">
        <v>5</v>
      </c>
      <c r="J16" s="67">
        <v>5</v>
      </c>
    </row>
    <row r="17" spans="1:10">
      <c r="A17" s="70" t="s">
        <v>19</v>
      </c>
      <c r="B17" s="67">
        <v>2</v>
      </c>
      <c r="C17" s="67">
        <v>3</v>
      </c>
      <c r="D17" s="72">
        <v>3</v>
      </c>
      <c r="E17" s="67">
        <v>3</v>
      </c>
      <c r="F17" s="67">
        <v>3</v>
      </c>
      <c r="G17" s="67">
        <v>3</v>
      </c>
      <c r="H17" s="67">
        <v>3</v>
      </c>
      <c r="I17" s="67">
        <v>3</v>
      </c>
      <c r="J17" s="67">
        <v>3</v>
      </c>
    </row>
    <row r="18" spans="1:10">
      <c r="A18" s="70" t="s">
        <v>26</v>
      </c>
      <c r="B18" s="67">
        <v>3</v>
      </c>
      <c r="C18" s="67">
        <v>2</v>
      </c>
      <c r="D18" s="72">
        <v>2</v>
      </c>
      <c r="E18" s="67">
        <v>2</v>
      </c>
      <c r="F18" s="67">
        <v>2</v>
      </c>
      <c r="G18" s="67">
        <v>2</v>
      </c>
      <c r="H18" s="67">
        <v>2</v>
      </c>
      <c r="I18" s="67">
        <v>2</v>
      </c>
      <c r="J18" s="67">
        <v>2</v>
      </c>
    </row>
    <row r="19" spans="1:10">
      <c r="A19" s="70" t="s">
        <v>31</v>
      </c>
      <c r="B19" s="67">
        <v>1</v>
      </c>
      <c r="C19" s="67">
        <v>1</v>
      </c>
      <c r="D19" s="73">
        <v>1</v>
      </c>
      <c r="E19" s="67">
        <v>1</v>
      </c>
      <c r="F19" s="67">
        <v>1</v>
      </c>
      <c r="G19" s="67">
        <v>1</v>
      </c>
      <c r="H19" s="67">
        <v>1</v>
      </c>
      <c r="I19" s="67">
        <v>1</v>
      </c>
      <c r="J19" s="67">
        <v>1</v>
      </c>
    </row>
  </sheetData>
  <sortState ref="A4:M19">
    <sortCondition descending="1" ref="D4:D19"/>
  </sortState>
  <mergeCells count="1">
    <mergeCell ref="A2:A3"/>
  </mergeCells>
  <conditionalFormatting sqref="B4:J19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X29"/>
  <sheetViews>
    <sheetView workbookViewId="0"/>
  </sheetViews>
  <sheetFormatPr defaultRowHeight="15"/>
  <cols>
    <col min="1" max="1" width="18.42578125" customWidth="1"/>
  </cols>
  <sheetData>
    <row r="1" spans="1:24" ht="15.75" thickBot="1">
      <c r="A1" s="1" t="s">
        <v>69</v>
      </c>
      <c r="B1" s="165"/>
      <c r="C1" s="417" t="s">
        <v>0</v>
      </c>
      <c r="D1" s="418"/>
      <c r="E1" s="417" t="s">
        <v>2</v>
      </c>
      <c r="F1" s="418"/>
      <c r="G1" s="417" t="s">
        <v>3</v>
      </c>
      <c r="H1" s="418"/>
      <c r="I1" s="421" t="s">
        <v>4</v>
      </c>
      <c r="J1" s="422"/>
      <c r="K1" s="422"/>
      <c r="L1" s="422"/>
      <c r="M1" s="422"/>
      <c r="N1" s="422"/>
      <c r="O1" s="422"/>
      <c r="P1" s="422"/>
      <c r="Q1" s="423"/>
      <c r="T1" s="39"/>
      <c r="U1" s="39"/>
    </row>
    <row r="2" spans="1:24" ht="46.5" thickBot="1">
      <c r="A2" s="2"/>
      <c r="B2" s="166"/>
      <c r="C2" s="419" t="s">
        <v>1</v>
      </c>
      <c r="D2" s="420"/>
      <c r="E2" s="419"/>
      <c r="F2" s="420"/>
      <c r="G2" s="419"/>
      <c r="H2" s="420"/>
      <c r="I2" s="424" t="s">
        <v>5</v>
      </c>
      <c r="J2" s="425"/>
      <c r="K2" s="424" t="s">
        <v>6</v>
      </c>
      <c r="L2" s="425"/>
      <c r="M2" s="424" t="s">
        <v>7</v>
      </c>
      <c r="N2" s="425"/>
      <c r="O2" s="424" t="s">
        <v>8</v>
      </c>
      <c r="P2" s="425"/>
      <c r="Q2" s="66" t="s">
        <v>9</v>
      </c>
      <c r="R2" s="82" t="s">
        <v>62</v>
      </c>
      <c r="S2" s="82"/>
      <c r="T2" s="82"/>
      <c r="U2" s="82" t="s">
        <v>151</v>
      </c>
      <c r="V2" s="82"/>
      <c r="W2" s="47" t="s">
        <v>154</v>
      </c>
      <c r="X2" s="47"/>
    </row>
    <row r="3" spans="1:24" s="41" customFormat="1" ht="60.75" thickBot="1">
      <c r="A3" s="30" t="s">
        <v>10</v>
      </c>
      <c r="B3" s="50" t="s">
        <v>66</v>
      </c>
      <c r="C3" s="31" t="s">
        <v>35</v>
      </c>
      <c r="D3" s="31" t="s">
        <v>36</v>
      </c>
      <c r="E3" s="31" t="s">
        <v>37</v>
      </c>
      <c r="F3" s="31" t="s">
        <v>38</v>
      </c>
      <c r="G3" s="31" t="s">
        <v>39</v>
      </c>
      <c r="H3" s="31" t="s">
        <v>40</v>
      </c>
      <c r="I3" s="31" t="s">
        <v>41</v>
      </c>
      <c r="J3" s="31" t="s">
        <v>42</v>
      </c>
      <c r="K3" s="31" t="s">
        <v>43</v>
      </c>
      <c r="L3" s="31" t="s">
        <v>44</v>
      </c>
      <c r="M3" s="31" t="s">
        <v>45</v>
      </c>
      <c r="N3" s="31" t="s">
        <v>46</v>
      </c>
      <c r="O3" s="31" t="s">
        <v>47</v>
      </c>
      <c r="P3" s="31" t="s">
        <v>48</v>
      </c>
      <c r="Q3" s="31" t="s">
        <v>49</v>
      </c>
      <c r="R3" s="174" t="s">
        <v>64</v>
      </c>
      <c r="S3" s="48" t="s">
        <v>63</v>
      </c>
      <c r="T3" s="50" t="s">
        <v>150</v>
      </c>
      <c r="U3" s="175" t="s">
        <v>152</v>
      </c>
      <c r="V3" s="175" t="s">
        <v>153</v>
      </c>
      <c r="W3" s="177" t="s">
        <v>155</v>
      </c>
      <c r="X3" s="177" t="s">
        <v>156</v>
      </c>
    </row>
    <row r="4" spans="1:24" ht="15.75" thickBot="1">
      <c r="A4" s="6" t="s">
        <v>13</v>
      </c>
      <c r="B4" s="167">
        <v>13008</v>
      </c>
      <c r="C4" s="7">
        <v>5372</v>
      </c>
      <c r="D4" s="42">
        <f>C4/C$22</f>
        <v>0.10412063418226926</v>
      </c>
      <c r="E4" s="10">
        <v>18894</v>
      </c>
      <c r="F4" s="42">
        <f>E4/E$22</f>
        <v>0.11549252727772853</v>
      </c>
      <c r="G4" s="11">
        <v>46</v>
      </c>
      <c r="H4" s="42">
        <f>G4/G$22</f>
        <v>0.12299465240641712</v>
      </c>
      <c r="I4" s="13">
        <v>132</v>
      </c>
      <c r="J4" s="33">
        <f>I4/I$22</f>
        <v>9.421841541755889E-2</v>
      </c>
      <c r="K4" s="13">
        <v>269</v>
      </c>
      <c r="L4" s="33">
        <f>K4/K$22</f>
        <v>2.7059651946484256E-2</v>
      </c>
      <c r="M4" s="32">
        <v>0</v>
      </c>
      <c r="N4" s="33">
        <f>M4/M$22</f>
        <v>0</v>
      </c>
      <c r="O4" s="13">
        <v>287</v>
      </c>
      <c r="P4" s="33">
        <f>O4/O$22</f>
        <v>2.3285437271303739E-3</v>
      </c>
      <c r="Q4" s="43">
        <f>AVERAGE(L4,N4,P4)</f>
        <v>9.7960652245382088E-3</v>
      </c>
      <c r="R4" s="45">
        <f>AVERAGE(D4,F4,H4,Q4)</f>
        <v>8.8100969772738277E-2</v>
      </c>
      <c r="S4" s="47">
        <f t="shared" ref="S4:S11" si="0">RANK(R4,Composite,1)</f>
        <v>11</v>
      </c>
      <c r="T4" s="58">
        <v>0.11</v>
      </c>
      <c r="U4" s="173">
        <f>0.5*(D4+F4)</f>
        <v>0.1098065807299989</v>
      </c>
      <c r="V4" s="173">
        <f>0.5*(H4+J4)</f>
        <v>0.108606533911988</v>
      </c>
      <c r="W4" s="47">
        <f t="shared" ref="W4:W11" si="1">IF(U4&gt;HHimpactLine,1,0)</f>
        <v>1</v>
      </c>
      <c r="X4" s="47">
        <f t="shared" ref="X4:X11" si="2">IF(V4&gt; ServiceDisruptLine,1,0)</f>
        <v>1</v>
      </c>
    </row>
    <row r="5" spans="1:24" ht="15.75" thickBot="1">
      <c r="A5" s="14" t="s">
        <v>15</v>
      </c>
      <c r="B5" s="167">
        <v>13921</v>
      </c>
      <c r="C5" s="15">
        <v>1194</v>
      </c>
      <c r="D5" s="42">
        <f t="shared" ref="D5:F22" si="3">C5/C$22</f>
        <v>2.3142225840213977E-2</v>
      </c>
      <c r="E5" s="32">
        <v>0</v>
      </c>
      <c r="F5" s="42">
        <f t="shared" si="3"/>
        <v>0</v>
      </c>
      <c r="G5" s="18">
        <v>21</v>
      </c>
      <c r="H5" s="42">
        <f t="shared" ref="H5:H11" si="4">G5/G$22</f>
        <v>5.6149732620320858E-2</v>
      </c>
      <c r="I5" s="17">
        <v>81</v>
      </c>
      <c r="J5" s="33">
        <f t="shared" ref="J5:J11" si="5">I5/I$22</f>
        <v>5.7815845824411134E-2</v>
      </c>
      <c r="K5" s="15">
        <v>1079</v>
      </c>
      <c r="L5" s="33">
        <f t="shared" ref="L5:L11" si="6">K5/K$22</f>
        <v>0.1085403882909164</v>
      </c>
      <c r="M5" s="17">
        <v>45</v>
      </c>
      <c r="N5" s="33">
        <f t="shared" ref="N5:N11" si="7">M5/M$22</f>
        <v>8.5714285714285715E-2</v>
      </c>
      <c r="O5" s="15">
        <v>8900</v>
      </c>
      <c r="P5" s="33">
        <f t="shared" ref="P5:P11" si="8">O5/O$22</f>
        <v>7.2209195719373967E-2</v>
      </c>
      <c r="Q5" s="43">
        <f t="shared" ref="Q5:Q11" si="9">AVERAGE(L5,N5,P5)</f>
        <v>8.8821289908192033E-2</v>
      </c>
      <c r="R5" s="45">
        <f t="shared" ref="R5:R22" si="10">AVERAGE(D5,F5,H5,Q5)</f>
        <v>4.2028312092181719E-2</v>
      </c>
      <c r="S5" s="47">
        <f t="shared" si="0"/>
        <v>8</v>
      </c>
      <c r="T5" s="58">
        <v>0.04</v>
      </c>
      <c r="U5" s="173">
        <f t="shared" ref="U5:U22" si="11">0.5*(D5+F5)</f>
        <v>1.1571112920106989E-2</v>
      </c>
      <c r="V5" s="173">
        <f t="shared" ref="V5:V22" si="12">0.5*(H5+J5)</f>
        <v>5.6982789222365993E-2</v>
      </c>
      <c r="W5" s="47">
        <f t="shared" si="1"/>
        <v>0</v>
      </c>
      <c r="X5" s="47">
        <f t="shared" si="2"/>
        <v>0</v>
      </c>
    </row>
    <row r="6" spans="1:24" ht="15.75" thickBot="1">
      <c r="A6" s="20" t="s">
        <v>16</v>
      </c>
      <c r="B6" s="168">
        <v>33436</v>
      </c>
      <c r="C6" s="7">
        <v>6085</v>
      </c>
      <c r="D6" s="42">
        <f t="shared" si="3"/>
        <v>0.11794007055083924</v>
      </c>
      <c r="E6" s="7">
        <v>22668</v>
      </c>
      <c r="F6" s="42">
        <f t="shared" si="3"/>
        <v>0.13856169198325133</v>
      </c>
      <c r="G6" s="11">
        <v>54</v>
      </c>
      <c r="H6" s="42">
        <f t="shared" si="4"/>
        <v>0.14438502673796791</v>
      </c>
      <c r="I6" s="13">
        <v>231</v>
      </c>
      <c r="J6" s="33">
        <f t="shared" si="5"/>
        <v>0.16488222698072805</v>
      </c>
      <c r="K6" s="7">
        <v>2285</v>
      </c>
      <c r="L6" s="33">
        <f t="shared" si="6"/>
        <v>0.22985615129262649</v>
      </c>
      <c r="M6" s="13">
        <v>9</v>
      </c>
      <c r="N6" s="33">
        <f t="shared" si="7"/>
        <v>1.7142857142857144E-2</v>
      </c>
      <c r="O6" s="7">
        <v>43849</v>
      </c>
      <c r="P6" s="33">
        <f t="shared" si="8"/>
        <v>0.35576415989874488</v>
      </c>
      <c r="Q6" s="43">
        <f t="shared" si="9"/>
        <v>0.20092105611140951</v>
      </c>
      <c r="R6" s="45">
        <f t="shared" si="10"/>
        <v>0.150451961345867</v>
      </c>
      <c r="S6" s="47">
        <f t="shared" si="0"/>
        <v>15</v>
      </c>
      <c r="T6" s="53">
        <v>0.12</v>
      </c>
      <c r="U6" s="173">
        <f t="shared" si="11"/>
        <v>0.12825088126704529</v>
      </c>
      <c r="V6" s="173">
        <f t="shared" si="12"/>
        <v>0.15463362685934798</v>
      </c>
      <c r="W6" s="47">
        <f t="shared" si="1"/>
        <v>1</v>
      </c>
      <c r="X6" s="47">
        <f t="shared" si="2"/>
        <v>1</v>
      </c>
    </row>
    <row r="7" spans="1:24" ht="15.75" thickBot="1">
      <c r="A7" s="14" t="s">
        <v>17</v>
      </c>
      <c r="B7" s="169">
        <v>11534</v>
      </c>
      <c r="C7" s="15">
        <v>11534</v>
      </c>
      <c r="D7" s="42">
        <f t="shared" si="3"/>
        <v>0.22355312633251928</v>
      </c>
      <c r="E7" s="21">
        <v>11166</v>
      </c>
      <c r="F7" s="42">
        <f t="shared" si="3"/>
        <v>6.8253919740823371E-2</v>
      </c>
      <c r="G7" s="18">
        <v>19</v>
      </c>
      <c r="H7" s="42">
        <f t="shared" si="4"/>
        <v>5.0802139037433157E-2</v>
      </c>
      <c r="I7" s="17">
        <v>84</v>
      </c>
      <c r="J7" s="33">
        <f t="shared" si="5"/>
        <v>5.9957173447537475E-2</v>
      </c>
      <c r="K7" s="17">
        <v>515</v>
      </c>
      <c r="L7" s="33">
        <f t="shared" si="6"/>
        <v>5.1805653354793278E-2</v>
      </c>
      <c r="M7" s="17">
        <v>69</v>
      </c>
      <c r="N7" s="33">
        <f t="shared" si="7"/>
        <v>0.13142857142857142</v>
      </c>
      <c r="O7" s="15">
        <v>16728</v>
      </c>
      <c r="P7" s="33">
        <f t="shared" si="8"/>
        <v>0.13572083438131324</v>
      </c>
      <c r="Q7" s="43">
        <f t="shared" si="9"/>
        <v>0.10631835305489264</v>
      </c>
      <c r="R7" s="45">
        <f t="shared" si="10"/>
        <v>0.1122318845414171</v>
      </c>
      <c r="S7" s="47">
        <f t="shared" si="0"/>
        <v>14</v>
      </c>
      <c r="T7" s="53">
        <v>0.12</v>
      </c>
      <c r="U7" s="173">
        <f t="shared" si="11"/>
        <v>0.14590352303667131</v>
      </c>
      <c r="V7" s="173">
        <f t="shared" si="12"/>
        <v>5.5379656242485316E-2</v>
      </c>
      <c r="W7" s="47">
        <f t="shared" si="1"/>
        <v>1</v>
      </c>
      <c r="X7" s="47">
        <f t="shared" si="2"/>
        <v>0</v>
      </c>
    </row>
    <row r="8" spans="1:24" ht="15.75" thickBot="1">
      <c r="A8" s="6" t="s">
        <v>18</v>
      </c>
      <c r="B8" s="169">
        <v>54414</v>
      </c>
      <c r="C8" s="7">
        <v>2448</v>
      </c>
      <c r="D8" s="42">
        <f t="shared" si="3"/>
        <v>4.7447377602046752E-2</v>
      </c>
      <c r="E8" s="10">
        <v>28701</v>
      </c>
      <c r="F8" s="42">
        <f t="shared" si="3"/>
        <v>0.175439347168312</v>
      </c>
      <c r="G8" s="11">
        <v>13</v>
      </c>
      <c r="H8" s="42">
        <f t="shared" si="4"/>
        <v>3.4759358288770054E-2</v>
      </c>
      <c r="I8" s="13">
        <v>107</v>
      </c>
      <c r="J8" s="33">
        <f t="shared" si="5"/>
        <v>7.6374018558172732E-2</v>
      </c>
      <c r="K8" s="13">
        <v>526</v>
      </c>
      <c r="L8" s="33">
        <f t="shared" si="6"/>
        <v>5.2912181873051002E-2</v>
      </c>
      <c r="M8" s="13">
        <v>81</v>
      </c>
      <c r="N8" s="33">
        <f t="shared" si="7"/>
        <v>0.15428571428571428</v>
      </c>
      <c r="O8" s="13">
        <v>12655</v>
      </c>
      <c r="P8" s="33">
        <f t="shared" si="8"/>
        <v>0.10267498559872781</v>
      </c>
      <c r="Q8" s="43">
        <f t="shared" si="9"/>
        <v>0.10329096058583102</v>
      </c>
      <c r="R8" s="45">
        <f t="shared" si="10"/>
        <v>9.0234260911239969E-2</v>
      </c>
      <c r="S8" s="47">
        <f t="shared" si="0"/>
        <v>12</v>
      </c>
      <c r="T8" s="53">
        <v>0.09</v>
      </c>
      <c r="U8" s="173">
        <f t="shared" si="11"/>
        <v>0.11144336238517938</v>
      </c>
      <c r="V8" s="173">
        <f t="shared" si="12"/>
        <v>5.5566688423471393E-2</v>
      </c>
      <c r="W8" s="47">
        <f t="shared" si="1"/>
        <v>1</v>
      </c>
      <c r="X8" s="47">
        <f t="shared" si="2"/>
        <v>0</v>
      </c>
    </row>
    <row r="9" spans="1:24" ht="15.75" thickBot="1">
      <c r="A9" s="22" t="s">
        <v>19</v>
      </c>
      <c r="B9" s="167">
        <v>8245</v>
      </c>
      <c r="C9" s="17">
        <v>767</v>
      </c>
      <c r="D9" s="42">
        <f t="shared" si="3"/>
        <v>1.4866069698026903E-2</v>
      </c>
      <c r="E9" s="32">
        <v>0</v>
      </c>
      <c r="F9" s="42">
        <f t="shared" si="3"/>
        <v>0</v>
      </c>
      <c r="G9" s="18">
        <v>4</v>
      </c>
      <c r="H9" s="42">
        <f t="shared" si="4"/>
        <v>1.06951871657754E-2</v>
      </c>
      <c r="I9" s="17">
        <v>16</v>
      </c>
      <c r="J9" s="33">
        <f t="shared" si="5"/>
        <v>1.1420413990007138E-2</v>
      </c>
      <c r="K9" s="17">
        <v>122</v>
      </c>
      <c r="L9" s="33">
        <f t="shared" si="6"/>
        <v>1.2272407202494718E-2</v>
      </c>
      <c r="M9" s="17">
        <v>3</v>
      </c>
      <c r="N9" s="33">
        <f t="shared" si="7"/>
        <v>5.7142857142857143E-3</v>
      </c>
      <c r="O9" s="15">
        <v>2710</v>
      </c>
      <c r="P9" s="33">
        <f t="shared" si="8"/>
        <v>2.1987294426910501E-2</v>
      </c>
      <c r="Q9" s="43">
        <f t="shared" si="9"/>
        <v>1.3324662447896977E-2</v>
      </c>
      <c r="R9" s="45">
        <f t="shared" si="10"/>
        <v>9.7214798279248206E-3</v>
      </c>
      <c r="S9" s="47">
        <f t="shared" si="0"/>
        <v>3</v>
      </c>
      <c r="T9" s="64">
        <v>0.02</v>
      </c>
      <c r="U9" s="173">
        <f t="shared" si="11"/>
        <v>7.4330348490134514E-3</v>
      </c>
      <c r="V9" s="173">
        <f t="shared" si="12"/>
        <v>1.1057800577891269E-2</v>
      </c>
      <c r="W9" s="47">
        <f t="shared" si="1"/>
        <v>0</v>
      </c>
      <c r="X9" s="47">
        <f t="shared" si="2"/>
        <v>0</v>
      </c>
    </row>
    <row r="10" spans="1:24" ht="15.75" thickBot="1">
      <c r="A10" s="20" t="s">
        <v>20</v>
      </c>
      <c r="B10" s="167">
        <v>72047</v>
      </c>
      <c r="C10" s="7">
        <v>2180</v>
      </c>
      <c r="D10" s="42">
        <f t="shared" si="3"/>
        <v>4.2252975152149472E-2</v>
      </c>
      <c r="E10" s="7">
        <v>5770</v>
      </c>
      <c r="F10" s="42">
        <f t="shared" si="3"/>
        <v>3.5270026590054709E-2</v>
      </c>
      <c r="G10" s="11">
        <v>57</v>
      </c>
      <c r="H10" s="42">
        <f t="shared" si="4"/>
        <v>0.15240641711229946</v>
      </c>
      <c r="I10" s="13">
        <v>212</v>
      </c>
      <c r="J10" s="33">
        <f t="shared" si="5"/>
        <v>0.15132048536759457</v>
      </c>
      <c r="K10" s="7">
        <v>1955</v>
      </c>
      <c r="L10" s="33">
        <f t="shared" si="6"/>
        <v>0.19666029574489488</v>
      </c>
      <c r="M10" s="13">
        <v>75</v>
      </c>
      <c r="N10" s="33">
        <f t="shared" si="7"/>
        <v>0.14285714285714285</v>
      </c>
      <c r="O10" s="7">
        <v>13570</v>
      </c>
      <c r="P10" s="33">
        <f t="shared" si="8"/>
        <v>0.11009873999010165</v>
      </c>
      <c r="Q10" s="43">
        <f t="shared" si="9"/>
        <v>0.14987205953071314</v>
      </c>
      <c r="R10" s="45">
        <f t="shared" si="10"/>
        <v>9.4950369596304193E-2</v>
      </c>
      <c r="S10" s="47">
        <f t="shared" si="0"/>
        <v>13</v>
      </c>
      <c r="T10" s="53">
        <v>0.06</v>
      </c>
      <c r="U10" s="173">
        <f t="shared" si="11"/>
        <v>3.8761500871102091E-2</v>
      </c>
      <c r="V10" s="173">
        <f t="shared" si="12"/>
        <v>0.15186345123994702</v>
      </c>
      <c r="W10" s="47">
        <f t="shared" si="1"/>
        <v>0</v>
      </c>
      <c r="X10" s="47">
        <f t="shared" si="2"/>
        <v>1</v>
      </c>
    </row>
    <row r="11" spans="1:24" ht="15.75" thickBot="1">
      <c r="A11" s="22" t="s">
        <v>21</v>
      </c>
      <c r="B11" s="169">
        <v>15601</v>
      </c>
      <c r="C11" s="15">
        <v>1403</v>
      </c>
      <c r="D11" s="42">
        <f t="shared" si="3"/>
        <v>2.7193084467186109E-2</v>
      </c>
      <c r="E11" s="32">
        <v>0</v>
      </c>
      <c r="F11" s="42">
        <f t="shared" si="3"/>
        <v>0</v>
      </c>
      <c r="G11" s="18">
        <v>16</v>
      </c>
      <c r="H11" s="42">
        <f t="shared" si="4"/>
        <v>4.2780748663101602E-2</v>
      </c>
      <c r="I11" s="17">
        <v>102</v>
      </c>
      <c r="J11" s="33">
        <f t="shared" si="5"/>
        <v>7.2805139186295498E-2</v>
      </c>
      <c r="K11" s="17">
        <v>298</v>
      </c>
      <c r="L11" s="33">
        <f t="shared" si="6"/>
        <v>2.9976863494618249E-2</v>
      </c>
      <c r="M11" s="32">
        <v>0</v>
      </c>
      <c r="N11" s="33">
        <f t="shared" si="7"/>
        <v>0</v>
      </c>
      <c r="O11" s="15">
        <v>1439</v>
      </c>
      <c r="P11" s="33">
        <f t="shared" si="8"/>
        <v>1.1675172206761701E-2</v>
      </c>
      <c r="Q11" s="43">
        <f t="shared" si="9"/>
        <v>1.3884011900459984E-2</v>
      </c>
      <c r="R11" s="45">
        <f t="shared" si="10"/>
        <v>2.0964461257686924E-2</v>
      </c>
      <c r="S11" s="47">
        <f t="shared" si="0"/>
        <v>4</v>
      </c>
      <c r="T11" s="64">
        <v>0.08</v>
      </c>
      <c r="U11" s="173">
        <f t="shared" si="11"/>
        <v>1.3596542233593054E-2</v>
      </c>
      <c r="V11" s="173">
        <f t="shared" si="12"/>
        <v>5.7792943924698553E-2</v>
      </c>
      <c r="W11" s="47">
        <f t="shared" si="1"/>
        <v>0</v>
      </c>
      <c r="X11" s="47">
        <f t="shared" si="2"/>
        <v>0</v>
      </c>
    </row>
    <row r="12" spans="1:24" ht="15.75" thickBot="1">
      <c r="A12" s="6" t="s">
        <v>22</v>
      </c>
      <c r="B12" s="170">
        <v>716</v>
      </c>
      <c r="C12" s="34"/>
      <c r="D12" s="42"/>
      <c r="E12" s="34"/>
      <c r="F12" s="42"/>
      <c r="G12" s="36"/>
      <c r="H12" s="42"/>
      <c r="I12" s="34"/>
      <c r="J12" s="35"/>
      <c r="K12" s="34"/>
      <c r="L12" s="35"/>
      <c r="M12" s="34"/>
      <c r="N12" s="35"/>
      <c r="O12" s="34"/>
      <c r="P12" s="35"/>
      <c r="Q12" s="37"/>
      <c r="R12" s="46"/>
      <c r="S12" s="46"/>
      <c r="T12" s="46"/>
      <c r="U12" s="46"/>
      <c r="V12" s="46"/>
      <c r="W12" s="46"/>
      <c r="X12" s="46"/>
    </row>
    <row r="13" spans="1:24" ht="15.75" thickBot="1">
      <c r="A13" s="22" t="s">
        <v>24</v>
      </c>
      <c r="B13" s="171">
        <v>258</v>
      </c>
      <c r="C13" s="34"/>
      <c r="D13" s="42"/>
      <c r="E13" s="34"/>
      <c r="F13" s="42"/>
      <c r="G13" s="36"/>
      <c r="H13" s="42"/>
      <c r="I13" s="34"/>
      <c r="J13" s="35"/>
      <c r="K13" s="34"/>
      <c r="L13" s="35"/>
      <c r="M13" s="34"/>
      <c r="N13" s="35"/>
      <c r="O13" s="34"/>
      <c r="P13" s="35"/>
      <c r="Q13" s="37"/>
      <c r="R13" s="46"/>
      <c r="S13" s="46"/>
      <c r="T13" s="46"/>
      <c r="U13" s="46"/>
      <c r="V13" s="46"/>
      <c r="W13" s="46"/>
      <c r="X13" s="46"/>
    </row>
    <row r="14" spans="1:24" ht="15.75" thickBot="1">
      <c r="A14" s="6" t="s">
        <v>25</v>
      </c>
      <c r="B14" s="169">
        <v>17150</v>
      </c>
      <c r="C14" s="7">
        <v>3017</v>
      </c>
      <c r="D14" s="42">
        <f t="shared" si="3"/>
        <v>5.8475791758731632E-2</v>
      </c>
      <c r="E14" s="11">
        <v>681</v>
      </c>
      <c r="F14" s="42">
        <f t="shared" si="3"/>
        <v>4.1627189095021239E-3</v>
      </c>
      <c r="G14" s="11">
        <v>7</v>
      </c>
      <c r="H14" s="42">
        <f t="shared" ref="H14:H22" si="13">G14/G$22</f>
        <v>1.871657754010695E-2</v>
      </c>
      <c r="I14" s="13">
        <v>22</v>
      </c>
      <c r="J14" s="33">
        <f t="shared" ref="J14:J22" si="14">I14/I$22</f>
        <v>1.5703069236259814E-2</v>
      </c>
      <c r="K14" s="13">
        <v>160</v>
      </c>
      <c r="L14" s="33">
        <f t="shared" ref="L14:L22" si="15">K14/K$22</f>
        <v>1.6094960265566845E-2</v>
      </c>
      <c r="M14" s="32">
        <v>0</v>
      </c>
      <c r="N14" s="33">
        <f t="shared" ref="N14:N22" si="16">M14/M$22</f>
        <v>0</v>
      </c>
      <c r="O14" s="32">
        <v>0</v>
      </c>
      <c r="P14" s="33">
        <f t="shared" ref="P14:P22" si="17">O14/O$22</f>
        <v>0</v>
      </c>
      <c r="Q14" s="43">
        <f t="shared" ref="Q14:Q22" si="18">AVERAGE(L14,N14,P14)</f>
        <v>5.3649867551889482E-3</v>
      </c>
      <c r="R14" s="45">
        <f t="shared" si="10"/>
        <v>2.1680018740882413E-2</v>
      </c>
      <c r="S14" s="47">
        <f t="shared" ref="S14:S21" si="19">RANK(R14,Composite,1)</f>
        <v>5</v>
      </c>
      <c r="T14" s="58">
        <v>0.02</v>
      </c>
      <c r="U14" s="173">
        <f t="shared" si="11"/>
        <v>3.1319255334116877E-2</v>
      </c>
      <c r="V14" s="173">
        <f t="shared" si="12"/>
        <v>1.720982338818338E-2</v>
      </c>
      <c r="W14" s="47">
        <f t="shared" ref="W14:W21" si="20">IF(U14&gt;HHimpactLine,1,0)</f>
        <v>0</v>
      </c>
      <c r="X14" s="47">
        <f t="shared" ref="X14:X21" si="21">IF(V14&gt; ServiceDisruptLine,1,0)</f>
        <v>0</v>
      </c>
    </row>
    <row r="15" spans="1:24" ht="15.75" thickBot="1">
      <c r="A15" s="14" t="s">
        <v>26</v>
      </c>
      <c r="B15" s="169">
        <v>5199</v>
      </c>
      <c r="C15" s="17">
        <v>665</v>
      </c>
      <c r="D15" s="42">
        <f t="shared" si="3"/>
        <v>1.2889095631274954E-2</v>
      </c>
      <c r="E15" s="32">
        <v>0</v>
      </c>
      <c r="F15" s="42">
        <f t="shared" si="3"/>
        <v>0</v>
      </c>
      <c r="G15" s="18">
        <v>6</v>
      </c>
      <c r="H15" s="42">
        <f t="shared" si="13"/>
        <v>1.6042780748663103E-2</v>
      </c>
      <c r="I15" s="17">
        <v>1</v>
      </c>
      <c r="J15" s="33">
        <f t="shared" si="14"/>
        <v>7.1377587437544611E-4</v>
      </c>
      <c r="K15" s="32">
        <v>0</v>
      </c>
      <c r="L15" s="33">
        <f t="shared" si="15"/>
        <v>0</v>
      </c>
      <c r="M15" s="32">
        <v>0</v>
      </c>
      <c r="N15" s="33">
        <f t="shared" si="16"/>
        <v>0</v>
      </c>
      <c r="O15" s="32">
        <v>0</v>
      </c>
      <c r="P15" s="33">
        <f t="shared" si="17"/>
        <v>0</v>
      </c>
      <c r="Q15" s="43">
        <f t="shared" si="18"/>
        <v>0</v>
      </c>
      <c r="R15" s="45">
        <f t="shared" si="10"/>
        <v>7.2329690949845139E-3</v>
      </c>
      <c r="S15" s="47">
        <f t="shared" si="19"/>
        <v>2</v>
      </c>
      <c r="T15" s="60">
        <v>0.01</v>
      </c>
      <c r="U15" s="173">
        <f t="shared" si="11"/>
        <v>6.444547815637477E-3</v>
      </c>
      <c r="V15" s="173">
        <f t="shared" si="12"/>
        <v>8.3782783115192751E-3</v>
      </c>
      <c r="W15" s="47">
        <f t="shared" si="20"/>
        <v>0</v>
      </c>
      <c r="X15" s="47">
        <f t="shared" si="21"/>
        <v>0</v>
      </c>
    </row>
    <row r="16" spans="1:24" ht="15.75" thickBot="1">
      <c r="A16" s="20" t="s">
        <v>27</v>
      </c>
      <c r="B16" s="169">
        <v>40615</v>
      </c>
      <c r="C16" s="7">
        <v>10227</v>
      </c>
      <c r="D16" s="42">
        <f t="shared" si="3"/>
        <v>0.19822072333992324</v>
      </c>
      <c r="E16" s="10">
        <v>47268</v>
      </c>
      <c r="F16" s="42">
        <f t="shared" si="3"/>
        <v>0.28893303585072894</v>
      </c>
      <c r="G16" s="11">
        <v>61</v>
      </c>
      <c r="H16" s="42">
        <f t="shared" si="13"/>
        <v>0.16310160427807488</v>
      </c>
      <c r="I16" s="13">
        <v>182</v>
      </c>
      <c r="J16" s="33">
        <f t="shared" si="14"/>
        <v>0.12990720913633119</v>
      </c>
      <c r="K16" s="13">
        <v>911</v>
      </c>
      <c r="L16" s="33">
        <f t="shared" si="15"/>
        <v>9.1640680012071221E-2</v>
      </c>
      <c r="M16" s="13">
        <v>90</v>
      </c>
      <c r="N16" s="33">
        <f t="shared" si="16"/>
        <v>0.17142857142857143</v>
      </c>
      <c r="O16" s="7">
        <v>4708</v>
      </c>
      <c r="P16" s="33">
        <f t="shared" si="17"/>
        <v>3.8197853196271087E-2</v>
      </c>
      <c r="Q16" s="43">
        <f t="shared" si="18"/>
        <v>0.10042236821230459</v>
      </c>
      <c r="R16" s="45">
        <f t="shared" si="10"/>
        <v>0.18766943292025789</v>
      </c>
      <c r="S16" s="47">
        <f t="shared" si="19"/>
        <v>16</v>
      </c>
      <c r="T16" s="53">
        <v>0.2</v>
      </c>
      <c r="U16" s="173">
        <f t="shared" si="11"/>
        <v>0.24357687959532609</v>
      </c>
      <c r="V16" s="173">
        <f t="shared" si="12"/>
        <v>0.14650440670720305</v>
      </c>
      <c r="W16" s="47">
        <f t="shared" si="20"/>
        <v>1</v>
      </c>
      <c r="X16" s="47">
        <f t="shared" si="21"/>
        <v>1</v>
      </c>
    </row>
    <row r="17" spans="1:24" ht="15.75" thickBot="1">
      <c r="A17" s="22" t="s">
        <v>28</v>
      </c>
      <c r="B17" s="169">
        <v>12982</v>
      </c>
      <c r="C17" s="15">
        <v>1591</v>
      </c>
      <c r="D17" s="42">
        <f t="shared" si="3"/>
        <v>3.0836919021591656E-2</v>
      </c>
      <c r="E17" s="32">
        <v>0</v>
      </c>
      <c r="F17" s="42">
        <f t="shared" si="3"/>
        <v>0</v>
      </c>
      <c r="G17" s="18">
        <v>14</v>
      </c>
      <c r="H17" s="42">
        <f t="shared" si="13"/>
        <v>3.7433155080213901E-2</v>
      </c>
      <c r="I17" s="17">
        <v>29</v>
      </c>
      <c r="J17" s="33">
        <f t="shared" si="14"/>
        <v>2.0699500356887938E-2</v>
      </c>
      <c r="K17" s="17">
        <v>710</v>
      </c>
      <c r="L17" s="33">
        <f t="shared" si="15"/>
        <v>7.1421386178452867E-2</v>
      </c>
      <c r="M17" s="17">
        <v>84</v>
      </c>
      <c r="N17" s="33">
        <f t="shared" si="16"/>
        <v>0.16</v>
      </c>
      <c r="O17" s="15">
        <v>10738</v>
      </c>
      <c r="P17" s="33">
        <f t="shared" si="17"/>
        <v>8.7121611644341318E-2</v>
      </c>
      <c r="Q17" s="43">
        <f t="shared" si="18"/>
        <v>0.10618099927426472</v>
      </c>
      <c r="R17" s="45">
        <f t="shared" si="10"/>
        <v>4.3612768344017568E-2</v>
      </c>
      <c r="S17" s="47">
        <f t="shared" si="19"/>
        <v>9</v>
      </c>
      <c r="T17" s="60">
        <v>0.03</v>
      </c>
      <c r="U17" s="173">
        <f t="shared" si="11"/>
        <v>1.5418459510795828E-2</v>
      </c>
      <c r="V17" s="173">
        <f t="shared" si="12"/>
        <v>2.906632771855092E-2</v>
      </c>
      <c r="W17" s="47">
        <f t="shared" si="20"/>
        <v>0</v>
      </c>
      <c r="X17" s="47">
        <f t="shared" si="21"/>
        <v>0</v>
      </c>
    </row>
    <row r="18" spans="1:24" ht="15.75" thickBot="1">
      <c r="A18" s="20" t="s">
        <v>29</v>
      </c>
      <c r="B18" s="167">
        <v>23198</v>
      </c>
      <c r="C18" s="32">
        <v>0</v>
      </c>
      <c r="D18" s="42">
        <f t="shared" si="3"/>
        <v>0</v>
      </c>
      <c r="E18" s="10">
        <v>15120</v>
      </c>
      <c r="F18" s="42">
        <f t="shared" si="3"/>
        <v>9.242336257220575E-2</v>
      </c>
      <c r="G18" s="11">
        <v>25</v>
      </c>
      <c r="H18" s="42">
        <f t="shared" si="13"/>
        <v>6.684491978609626E-2</v>
      </c>
      <c r="I18" s="13">
        <v>129</v>
      </c>
      <c r="J18" s="33">
        <f t="shared" si="14"/>
        <v>9.2077087794432549E-2</v>
      </c>
      <c r="K18" s="13">
        <v>184</v>
      </c>
      <c r="L18" s="33">
        <f t="shared" si="15"/>
        <v>1.8509204305401872E-2</v>
      </c>
      <c r="M18" s="32">
        <v>0</v>
      </c>
      <c r="N18" s="33">
        <f t="shared" si="16"/>
        <v>0</v>
      </c>
      <c r="O18" s="13">
        <v>796</v>
      </c>
      <c r="P18" s="33">
        <f t="shared" si="17"/>
        <v>6.4582606508563683E-3</v>
      </c>
      <c r="Q18" s="43">
        <f t="shared" si="18"/>
        <v>8.3224883187527476E-3</v>
      </c>
      <c r="R18" s="45">
        <f t="shared" si="10"/>
        <v>4.1897692669263686E-2</v>
      </c>
      <c r="S18" s="47">
        <f t="shared" si="19"/>
        <v>7</v>
      </c>
      <c r="T18" s="53">
        <v>0.08</v>
      </c>
      <c r="U18" s="173">
        <f t="shared" si="11"/>
        <v>4.6211681286102875E-2</v>
      </c>
      <c r="V18" s="173">
        <f t="shared" si="12"/>
        <v>7.9461003790264412E-2</v>
      </c>
      <c r="W18" s="47">
        <f t="shared" si="20"/>
        <v>0</v>
      </c>
      <c r="X18" s="47">
        <f t="shared" si="21"/>
        <v>0</v>
      </c>
    </row>
    <row r="19" spans="1:24" ht="15.75" thickBot="1">
      <c r="A19" s="14" t="s">
        <v>31</v>
      </c>
      <c r="B19" s="167">
        <v>3005</v>
      </c>
      <c r="C19" s="17">
        <v>225</v>
      </c>
      <c r="D19" s="42">
        <f t="shared" si="3"/>
        <v>4.3609722060704735E-3</v>
      </c>
      <c r="E19" s="32">
        <v>0</v>
      </c>
      <c r="F19" s="42">
        <f t="shared" si="3"/>
        <v>0</v>
      </c>
      <c r="G19" s="18">
        <v>4</v>
      </c>
      <c r="H19" s="42">
        <f t="shared" si="13"/>
        <v>1.06951871657754E-2</v>
      </c>
      <c r="I19" s="32">
        <v>0</v>
      </c>
      <c r="J19" s="33">
        <f t="shared" si="14"/>
        <v>0</v>
      </c>
      <c r="K19" s="32">
        <v>0</v>
      </c>
      <c r="L19" s="33">
        <f t="shared" si="15"/>
        <v>0</v>
      </c>
      <c r="M19" s="32">
        <v>0</v>
      </c>
      <c r="N19" s="33">
        <f t="shared" si="16"/>
        <v>0</v>
      </c>
      <c r="O19" s="32">
        <v>0</v>
      </c>
      <c r="P19" s="33">
        <f t="shared" si="17"/>
        <v>0</v>
      </c>
      <c r="Q19" s="43">
        <f t="shared" si="18"/>
        <v>0</v>
      </c>
      <c r="R19" s="45">
        <f t="shared" si="10"/>
        <v>3.7640398429614683E-3</v>
      </c>
      <c r="S19" s="47">
        <f t="shared" si="19"/>
        <v>1</v>
      </c>
      <c r="T19" s="60">
        <v>0</v>
      </c>
      <c r="U19" s="173">
        <f t="shared" si="11"/>
        <v>2.1804861030352367E-3</v>
      </c>
      <c r="V19" s="173">
        <f t="shared" si="12"/>
        <v>5.3475935828877002E-3</v>
      </c>
      <c r="W19" s="47">
        <f t="shared" si="20"/>
        <v>0</v>
      </c>
      <c r="X19" s="47">
        <f t="shared" si="21"/>
        <v>0</v>
      </c>
    </row>
    <row r="20" spans="1:24" ht="15.75" thickBot="1">
      <c r="A20" s="20" t="s">
        <v>32</v>
      </c>
      <c r="B20" s="169">
        <v>17076</v>
      </c>
      <c r="C20" s="7">
        <v>4160</v>
      </c>
      <c r="D20" s="42">
        <f t="shared" si="3"/>
        <v>8.0629530565569638E-2</v>
      </c>
      <c r="E20" s="10">
        <v>7761</v>
      </c>
      <c r="F20" s="42">
        <f t="shared" si="3"/>
        <v>4.7440325193312753E-2</v>
      </c>
      <c r="G20" s="11">
        <v>14</v>
      </c>
      <c r="H20" s="42">
        <f t="shared" si="13"/>
        <v>3.7433155080213901E-2</v>
      </c>
      <c r="I20" s="13">
        <v>24</v>
      </c>
      <c r="J20" s="33">
        <f t="shared" si="14"/>
        <v>1.7130620985010708E-2</v>
      </c>
      <c r="K20" s="13">
        <v>184</v>
      </c>
      <c r="L20" s="33">
        <f t="shared" si="15"/>
        <v>1.8509204305401872E-2</v>
      </c>
      <c r="M20" s="32">
        <v>0</v>
      </c>
      <c r="N20" s="33">
        <f t="shared" si="16"/>
        <v>0</v>
      </c>
      <c r="O20" s="7">
        <v>2667</v>
      </c>
      <c r="P20" s="33">
        <f t="shared" si="17"/>
        <v>2.1638418537479817E-2</v>
      </c>
      <c r="Q20" s="43">
        <f t="shared" si="18"/>
        <v>1.338254094762723E-2</v>
      </c>
      <c r="R20" s="45">
        <f t="shared" si="10"/>
        <v>4.4721387946680881E-2</v>
      </c>
      <c r="S20" s="47">
        <f t="shared" si="19"/>
        <v>10</v>
      </c>
      <c r="T20" s="60">
        <v>0.05</v>
      </c>
      <c r="U20" s="173">
        <f t="shared" si="11"/>
        <v>6.4034927879441192E-2</v>
      </c>
      <c r="V20" s="173">
        <f t="shared" si="12"/>
        <v>2.7281888032612306E-2</v>
      </c>
      <c r="W20" s="47">
        <f t="shared" si="20"/>
        <v>0</v>
      </c>
      <c r="X20" s="47">
        <f t="shared" si="21"/>
        <v>0</v>
      </c>
    </row>
    <row r="21" spans="1:24" ht="15.75" thickBot="1">
      <c r="A21" s="22" t="s">
        <v>33</v>
      </c>
      <c r="B21" s="167">
        <v>7869</v>
      </c>
      <c r="C21" s="17">
        <v>726</v>
      </c>
      <c r="D21" s="42">
        <f t="shared" si="3"/>
        <v>1.4071403651587393E-2</v>
      </c>
      <c r="E21" s="21">
        <v>5566</v>
      </c>
      <c r="F21" s="42">
        <f t="shared" si="3"/>
        <v>3.4023044714080505E-2</v>
      </c>
      <c r="G21" s="18">
        <v>12</v>
      </c>
      <c r="H21" s="42">
        <f t="shared" si="13"/>
        <v>3.2085561497326207E-2</v>
      </c>
      <c r="I21" s="17">
        <v>49</v>
      </c>
      <c r="J21" s="33">
        <f t="shared" si="14"/>
        <v>3.4975017844396862E-2</v>
      </c>
      <c r="K21" s="17">
        <v>743</v>
      </c>
      <c r="L21" s="33">
        <f t="shared" si="15"/>
        <v>7.4740971733226039E-2</v>
      </c>
      <c r="M21" s="17">
        <v>69</v>
      </c>
      <c r="N21" s="33">
        <f t="shared" si="16"/>
        <v>0.13142857142857142</v>
      </c>
      <c r="O21" s="15">
        <v>4206</v>
      </c>
      <c r="P21" s="33">
        <f t="shared" si="17"/>
        <v>3.4124930021987292E-2</v>
      </c>
      <c r="Q21" s="43">
        <f t="shared" si="18"/>
        <v>8.0098157727928262E-2</v>
      </c>
      <c r="R21" s="45">
        <f t="shared" si="10"/>
        <v>4.0069541897730591E-2</v>
      </c>
      <c r="S21" s="47">
        <f t="shared" si="19"/>
        <v>6</v>
      </c>
      <c r="T21" s="58">
        <v>0.03</v>
      </c>
      <c r="U21" s="173">
        <f t="shared" si="11"/>
        <v>2.4047224182833948E-2</v>
      </c>
      <c r="V21" s="173">
        <f t="shared" si="12"/>
        <v>3.3530289670861538E-2</v>
      </c>
      <c r="W21" s="47">
        <f t="shared" si="20"/>
        <v>0</v>
      </c>
      <c r="X21" s="47">
        <f t="shared" si="21"/>
        <v>0</v>
      </c>
    </row>
    <row r="22" spans="1:24" ht="15.75" thickBot="1">
      <c r="A22" s="23" t="s">
        <v>34</v>
      </c>
      <c r="B22" s="172">
        <f>SUM(B4:B21)</f>
        <v>350274</v>
      </c>
      <c r="C22" s="24">
        <v>51594</v>
      </c>
      <c r="D22" s="42">
        <f t="shared" si="3"/>
        <v>1</v>
      </c>
      <c r="E22" s="24">
        <v>163595</v>
      </c>
      <c r="F22" s="42">
        <f t="shared" si="3"/>
        <v>1</v>
      </c>
      <c r="G22" s="26">
        <v>374</v>
      </c>
      <c r="H22" s="42">
        <f t="shared" si="13"/>
        <v>1</v>
      </c>
      <c r="I22" s="24">
        <v>1401</v>
      </c>
      <c r="J22" s="33">
        <f t="shared" si="14"/>
        <v>1</v>
      </c>
      <c r="K22" s="24">
        <v>9941</v>
      </c>
      <c r="L22" s="33">
        <f t="shared" si="15"/>
        <v>1</v>
      </c>
      <c r="M22" s="28">
        <v>525</v>
      </c>
      <c r="N22" s="33">
        <f t="shared" si="16"/>
        <v>1</v>
      </c>
      <c r="O22" s="24">
        <v>123253</v>
      </c>
      <c r="P22" s="33">
        <f t="shared" si="17"/>
        <v>1</v>
      </c>
      <c r="Q22" s="43">
        <f t="shared" si="18"/>
        <v>1</v>
      </c>
      <c r="R22" s="45">
        <f t="shared" si="10"/>
        <v>1</v>
      </c>
      <c r="T22" s="8">
        <f>SUM(T4:T21)</f>
        <v>1.06</v>
      </c>
      <c r="U22" s="173">
        <f t="shared" si="11"/>
        <v>1</v>
      </c>
      <c r="V22" s="173">
        <f t="shared" si="12"/>
        <v>1</v>
      </c>
    </row>
    <row r="23" spans="1:24">
      <c r="F23" s="29"/>
    </row>
    <row r="25" spans="1:24">
      <c r="A25" s="38"/>
      <c r="B25" t="s">
        <v>50</v>
      </c>
    </row>
    <row r="26" spans="1:24">
      <c r="A26" s="39"/>
      <c r="B26" t="s">
        <v>51</v>
      </c>
    </row>
    <row r="28" spans="1:24">
      <c r="B28" s="176" t="s">
        <v>157</v>
      </c>
      <c r="C28" s="176">
        <v>0.1</v>
      </c>
      <c r="E28" t="s">
        <v>187</v>
      </c>
    </row>
    <row r="29" spans="1:24">
      <c r="B29" s="176" t="s">
        <v>158</v>
      </c>
      <c r="C29" s="176">
        <v>0.1</v>
      </c>
      <c r="E29" t="s">
        <v>188</v>
      </c>
    </row>
  </sheetData>
  <mergeCells count="9">
    <mergeCell ref="C1:D1"/>
    <mergeCell ref="E1:F2"/>
    <mergeCell ref="G1:H2"/>
    <mergeCell ref="I1:Q1"/>
    <mergeCell ref="C2:D2"/>
    <mergeCell ref="I2:J2"/>
    <mergeCell ref="K2:L2"/>
    <mergeCell ref="M2:N2"/>
    <mergeCell ref="O2:P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3:E19"/>
  <sheetViews>
    <sheetView workbookViewId="0">
      <selection activeCell="F1" sqref="F1"/>
    </sheetView>
  </sheetViews>
  <sheetFormatPr defaultRowHeight="15"/>
  <cols>
    <col min="1" max="5" width="12.7109375" customWidth="1"/>
  </cols>
  <sheetData>
    <row r="3" spans="1:5">
      <c r="C3" s="178" t="s">
        <v>161</v>
      </c>
    </row>
    <row r="4" spans="1:5">
      <c r="A4" s="178" t="s">
        <v>155</v>
      </c>
      <c r="B4" s="178" t="s">
        <v>156</v>
      </c>
      <c r="C4" t="s">
        <v>160</v>
      </c>
      <c r="D4" t="s">
        <v>162</v>
      </c>
    </row>
    <row r="5" spans="1:5">
      <c r="A5">
        <v>1</v>
      </c>
      <c r="B5">
        <v>1</v>
      </c>
      <c r="C5" s="179">
        <v>3</v>
      </c>
      <c r="D5" s="179">
        <v>87059</v>
      </c>
    </row>
    <row r="6" spans="1:5">
      <c r="B6">
        <v>0</v>
      </c>
      <c r="C6" s="179">
        <v>2</v>
      </c>
      <c r="D6" s="179">
        <v>65948</v>
      </c>
    </row>
    <row r="7" spans="1:5">
      <c r="A7">
        <v>0</v>
      </c>
      <c r="B7">
        <v>1</v>
      </c>
      <c r="C7" s="179">
        <v>1</v>
      </c>
      <c r="D7" s="179">
        <v>72047</v>
      </c>
    </row>
    <row r="8" spans="1:5">
      <c r="B8">
        <v>0</v>
      </c>
      <c r="C8" s="179">
        <v>10</v>
      </c>
      <c r="D8" s="179">
        <v>124246</v>
      </c>
    </row>
    <row r="9" spans="1:5">
      <c r="A9" t="s">
        <v>159</v>
      </c>
      <c r="C9" s="179">
        <v>16</v>
      </c>
      <c r="D9" s="179">
        <v>349300</v>
      </c>
    </row>
    <row r="14" spans="1:5" s="180" customFormat="1" ht="38.25" customHeight="1">
      <c r="A14" s="181" t="s">
        <v>167</v>
      </c>
      <c r="B14" s="181" t="s">
        <v>152</v>
      </c>
      <c r="C14" s="181" t="s">
        <v>153</v>
      </c>
      <c r="D14" s="181" t="s">
        <v>55</v>
      </c>
      <c r="E14" s="181" t="s">
        <v>165</v>
      </c>
    </row>
    <row r="15" spans="1:5">
      <c r="A15" s="182" t="s">
        <v>168</v>
      </c>
      <c r="B15" s="182" t="s">
        <v>163</v>
      </c>
      <c r="C15" s="182" t="s">
        <v>163</v>
      </c>
      <c r="D15" s="182">
        <v>3</v>
      </c>
      <c r="E15" s="183">
        <v>87059</v>
      </c>
    </row>
    <row r="16" spans="1:5">
      <c r="A16" s="182" t="s">
        <v>169</v>
      </c>
      <c r="B16" s="182" t="s">
        <v>163</v>
      </c>
      <c r="C16" s="182" t="s">
        <v>164</v>
      </c>
      <c r="D16" s="182">
        <v>2</v>
      </c>
      <c r="E16" s="183">
        <v>65948</v>
      </c>
    </row>
    <row r="17" spans="1:5">
      <c r="A17" s="182" t="s">
        <v>170</v>
      </c>
      <c r="B17" s="182" t="s">
        <v>164</v>
      </c>
      <c r="C17" s="182" t="s">
        <v>163</v>
      </c>
      <c r="D17" s="182">
        <v>1</v>
      </c>
      <c r="E17" s="183">
        <v>72047</v>
      </c>
    </row>
    <row r="18" spans="1:5">
      <c r="A18" s="182" t="s">
        <v>171</v>
      </c>
      <c r="B18" s="182" t="s">
        <v>164</v>
      </c>
      <c r="C18" s="182" t="s">
        <v>164</v>
      </c>
      <c r="D18" s="182">
        <v>10</v>
      </c>
      <c r="E18" s="183">
        <v>124246</v>
      </c>
    </row>
    <row r="19" spans="1:5">
      <c r="A19" s="184" t="s">
        <v>166</v>
      </c>
      <c r="B19" s="184"/>
      <c r="C19" s="184"/>
      <c r="D19" s="186">
        <v>16</v>
      </c>
      <c r="E19" s="185">
        <v>349300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O77"/>
  <sheetViews>
    <sheetView zoomScale="98" zoomScaleNormal="98" workbookViewId="0"/>
  </sheetViews>
  <sheetFormatPr defaultRowHeight="15"/>
  <cols>
    <col min="1" max="1" width="7.7109375" customWidth="1"/>
    <col min="2" max="2" width="20.28515625" customWidth="1"/>
    <col min="3" max="3" width="10.7109375" hidden="1" customWidth="1"/>
    <col min="4" max="7" width="10.7109375" customWidth="1"/>
    <col min="8" max="11" width="10.7109375" style="67" customWidth="1"/>
    <col min="12" max="12" width="11.85546875" customWidth="1"/>
    <col min="13" max="19" width="10.7109375" customWidth="1"/>
    <col min="20" max="20" width="7" customWidth="1"/>
  </cols>
  <sheetData>
    <row r="1" spans="1:13">
      <c r="A1" s="208" t="s">
        <v>192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3">
      <c r="A2" s="176" t="s">
        <v>193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</row>
    <row r="3" spans="1:13">
      <c r="A3" s="176" t="s">
        <v>196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</row>
    <row r="4" spans="1:13">
      <c r="A4" s="176" t="s">
        <v>197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</row>
    <row r="5" spans="1:13">
      <c r="A5" s="176"/>
      <c r="B5" s="176"/>
      <c r="C5" s="176"/>
      <c r="D5" s="176"/>
      <c r="E5" s="176"/>
      <c r="F5" s="176"/>
      <c r="G5" s="176"/>
      <c r="H5" s="176"/>
      <c r="I5" s="176"/>
      <c r="J5" s="176"/>
      <c r="K5" s="176"/>
    </row>
    <row r="6" spans="1:13" s="206" customFormat="1" ht="39.75" customHeight="1">
      <c r="A6" s="207"/>
      <c r="B6" s="207"/>
      <c r="C6" s="207"/>
      <c r="D6" s="427" t="s">
        <v>180</v>
      </c>
      <c r="E6" s="427"/>
      <c r="F6" s="427"/>
      <c r="G6" s="427"/>
      <c r="H6" s="427"/>
      <c r="I6" s="427"/>
      <c r="J6" s="427"/>
      <c r="K6" s="427"/>
    </row>
    <row r="7" spans="1:13" ht="106.5" customHeight="1">
      <c r="A7" s="40" t="s">
        <v>72</v>
      </c>
      <c r="B7" s="40" t="s">
        <v>55</v>
      </c>
      <c r="C7" s="40" t="s">
        <v>70</v>
      </c>
      <c r="D7" s="187" t="s">
        <v>123</v>
      </c>
      <c r="E7" s="188" t="s">
        <v>173</v>
      </c>
      <c r="F7" s="189" t="s">
        <v>125</v>
      </c>
      <c r="G7" s="190" t="s">
        <v>174</v>
      </c>
      <c r="H7" s="191" t="s">
        <v>127</v>
      </c>
      <c r="I7" s="192" t="s">
        <v>175</v>
      </c>
      <c r="J7" s="193" t="s">
        <v>115</v>
      </c>
      <c r="K7" s="194" t="s">
        <v>176</v>
      </c>
    </row>
    <row r="8" spans="1:13">
      <c r="A8" s="195">
        <v>15</v>
      </c>
      <c r="B8" s="87" t="s">
        <v>29</v>
      </c>
      <c r="C8" s="196">
        <v>23198</v>
      </c>
      <c r="D8" s="197">
        <v>0</v>
      </c>
      <c r="E8" s="116">
        <f t="shared" ref="E8:E23" si="0">VLOOKUP(1.2 * D8,Displace,1,TRUE)</f>
        <v>0</v>
      </c>
      <c r="F8" s="117">
        <v>9.242336257220575E-2</v>
      </c>
      <c r="G8" s="118"/>
      <c r="H8" s="119">
        <v>6.684491978609626E-2</v>
      </c>
      <c r="I8" s="120"/>
      <c r="J8" s="121">
        <v>8.3224883187527476E-3</v>
      </c>
      <c r="K8" s="198"/>
      <c r="M8" s="41" t="s">
        <v>194</v>
      </c>
    </row>
    <row r="9" spans="1:13">
      <c r="A9" s="195">
        <v>16</v>
      </c>
      <c r="B9" s="87" t="s">
        <v>31</v>
      </c>
      <c r="C9" s="196">
        <v>3005</v>
      </c>
      <c r="D9" s="197">
        <v>4.3609722060704735E-3</v>
      </c>
      <c r="E9" s="116">
        <f t="shared" si="0"/>
        <v>4.3609722060704735E-3</v>
      </c>
      <c r="F9" s="117">
        <v>0</v>
      </c>
      <c r="G9" s="118"/>
      <c r="H9" s="119">
        <v>1.06951871657754E-2</v>
      </c>
      <c r="I9" s="120"/>
      <c r="J9" s="121">
        <v>0</v>
      </c>
      <c r="K9" s="198"/>
      <c r="M9" s="210" t="s">
        <v>195</v>
      </c>
    </row>
    <row r="10" spans="1:13">
      <c r="A10" s="195">
        <v>12</v>
      </c>
      <c r="B10" s="87" t="s">
        <v>26</v>
      </c>
      <c r="C10" s="196">
        <v>5199</v>
      </c>
      <c r="D10" s="197">
        <v>1.2889095631274954E-2</v>
      </c>
      <c r="E10" s="116">
        <f t="shared" si="0"/>
        <v>1.4866069698026903E-2</v>
      </c>
      <c r="F10" s="117">
        <v>0</v>
      </c>
      <c r="G10" s="118"/>
      <c r="H10" s="119">
        <v>1.6042780748663103E-2</v>
      </c>
      <c r="I10" s="120"/>
      <c r="J10" s="121">
        <v>0</v>
      </c>
      <c r="K10" s="198"/>
      <c r="M10" t="s">
        <v>198</v>
      </c>
    </row>
    <row r="11" spans="1:13">
      <c r="A11" s="195">
        <v>18</v>
      </c>
      <c r="B11" s="87" t="s">
        <v>33</v>
      </c>
      <c r="C11" s="196">
        <v>7869</v>
      </c>
      <c r="D11" s="197">
        <v>1.4071403651587393E-2</v>
      </c>
      <c r="E11" s="116">
        <f t="shared" si="0"/>
        <v>1.4866069698026903E-2</v>
      </c>
      <c r="F11" s="117">
        <v>3.4023044714080505E-2</v>
      </c>
      <c r="G11" s="118"/>
      <c r="H11" s="119">
        <v>3.2085561497326207E-2</v>
      </c>
      <c r="I11" s="120"/>
      <c r="J11" s="121">
        <v>8.0098157727928262E-2</v>
      </c>
      <c r="K11" s="198"/>
      <c r="M11" t="s">
        <v>199</v>
      </c>
    </row>
    <row r="12" spans="1:13">
      <c r="A12" s="195">
        <v>6</v>
      </c>
      <c r="B12" s="87" t="s">
        <v>19</v>
      </c>
      <c r="C12" s="196">
        <v>8245</v>
      </c>
      <c r="D12" s="197">
        <v>1.4866069698026903E-2</v>
      </c>
      <c r="E12" s="116">
        <f t="shared" si="0"/>
        <v>1.4866069698026903E-2</v>
      </c>
      <c r="F12" s="117">
        <v>0</v>
      </c>
      <c r="G12" s="118"/>
      <c r="H12" s="119">
        <v>1.06951871657754E-2</v>
      </c>
      <c r="I12" s="120"/>
      <c r="J12" s="121">
        <v>1.3324662447896977E-2</v>
      </c>
      <c r="K12" s="198"/>
      <c r="M12" t="s">
        <v>200</v>
      </c>
    </row>
    <row r="13" spans="1:13">
      <c r="A13" s="195">
        <v>2</v>
      </c>
      <c r="B13" s="87" t="s">
        <v>15</v>
      </c>
      <c r="C13" s="196">
        <v>13921</v>
      </c>
      <c r="D13" s="197">
        <v>2.3142225840213977E-2</v>
      </c>
      <c r="E13" s="116">
        <f t="shared" si="0"/>
        <v>2.7193084467186109E-2</v>
      </c>
      <c r="F13" s="117">
        <v>0</v>
      </c>
      <c r="G13" s="118"/>
      <c r="H13" s="119">
        <v>5.6149732620320858E-2</v>
      </c>
      <c r="I13" s="120"/>
      <c r="J13" s="121">
        <v>8.8821289908192033E-2</v>
      </c>
      <c r="K13" s="198"/>
      <c r="M13" t="s">
        <v>201</v>
      </c>
    </row>
    <row r="14" spans="1:13">
      <c r="A14" s="195">
        <v>8</v>
      </c>
      <c r="B14" s="87" t="s">
        <v>21</v>
      </c>
      <c r="C14" s="196">
        <v>15601</v>
      </c>
      <c r="D14" s="197">
        <v>2.7193084467186109E-2</v>
      </c>
      <c r="E14" s="116">
        <f t="shared" si="0"/>
        <v>3.0836919021591656E-2</v>
      </c>
      <c r="F14" s="117">
        <v>0</v>
      </c>
      <c r="G14" s="118"/>
      <c r="H14" s="119">
        <v>4.2780748663101602E-2</v>
      </c>
      <c r="I14" s="120"/>
      <c r="J14" s="121">
        <v>1.3884011900459984E-2</v>
      </c>
      <c r="K14" s="198"/>
    </row>
    <row r="15" spans="1:13">
      <c r="A15" s="195">
        <v>14</v>
      </c>
      <c r="B15" s="87" t="s">
        <v>28</v>
      </c>
      <c r="C15" s="196">
        <v>12982</v>
      </c>
      <c r="D15" s="197">
        <v>3.0836919021591656E-2</v>
      </c>
      <c r="E15" s="116">
        <f t="shared" si="0"/>
        <v>3.0836919021591656E-2</v>
      </c>
      <c r="F15" s="117">
        <v>0</v>
      </c>
      <c r="G15" s="118"/>
      <c r="H15" s="119">
        <v>3.7433155080213901E-2</v>
      </c>
      <c r="I15" s="120"/>
      <c r="J15" s="121">
        <v>0.10618099927426472</v>
      </c>
      <c r="K15" s="198"/>
    </row>
    <row r="16" spans="1:13">
      <c r="A16" s="195">
        <v>7</v>
      </c>
      <c r="B16" s="87" t="s">
        <v>20</v>
      </c>
      <c r="C16" s="196">
        <v>72047</v>
      </c>
      <c r="D16" s="197">
        <v>4.2252975152149472E-2</v>
      </c>
      <c r="E16" s="116">
        <f t="shared" si="0"/>
        <v>4.7447377602046752E-2</v>
      </c>
      <c r="F16" s="117">
        <v>3.5270026590054709E-2</v>
      </c>
      <c r="G16" s="118"/>
      <c r="H16" s="119">
        <v>0.15240641711229946</v>
      </c>
      <c r="I16" s="120"/>
      <c r="J16" s="121">
        <v>0.14987205953071314</v>
      </c>
      <c r="K16" s="198"/>
    </row>
    <row r="17" spans="1:15">
      <c r="A17" s="195">
        <v>5</v>
      </c>
      <c r="B17" s="87" t="s">
        <v>18</v>
      </c>
      <c r="C17" s="196">
        <v>54414</v>
      </c>
      <c r="D17" s="197">
        <v>4.7447377602046752E-2</v>
      </c>
      <c r="E17" s="116">
        <f t="shared" si="0"/>
        <v>4.7447377602046752E-2</v>
      </c>
      <c r="F17" s="117">
        <v>0.175439347168312</v>
      </c>
      <c r="G17" s="118"/>
      <c r="H17" s="119">
        <v>3.4759358288770054E-2</v>
      </c>
      <c r="I17" s="120"/>
      <c r="J17" s="121">
        <v>0.10329096058583102</v>
      </c>
      <c r="K17" s="198"/>
    </row>
    <row r="18" spans="1:15">
      <c r="A18" s="195">
        <v>11</v>
      </c>
      <c r="B18" s="87" t="s">
        <v>25</v>
      </c>
      <c r="C18" s="196">
        <v>17150</v>
      </c>
      <c r="D18" s="197">
        <v>5.8475791758731632E-2</v>
      </c>
      <c r="E18" s="116">
        <f t="shared" si="0"/>
        <v>5.8475791758731632E-2</v>
      </c>
      <c r="F18" s="117">
        <v>4.1627189095021239E-3</v>
      </c>
      <c r="G18" s="118"/>
      <c r="H18" s="119">
        <v>1.871657754010695E-2</v>
      </c>
      <c r="I18" s="120"/>
      <c r="J18" s="121">
        <v>5.3649867551889482E-3</v>
      </c>
      <c r="K18" s="198"/>
    </row>
    <row r="19" spans="1:15">
      <c r="A19" s="195">
        <v>17</v>
      </c>
      <c r="B19" s="87" t="s">
        <v>32</v>
      </c>
      <c r="C19" s="196">
        <v>17076</v>
      </c>
      <c r="D19" s="197">
        <v>8.0629530565569638E-2</v>
      </c>
      <c r="E19" s="116">
        <f t="shared" si="0"/>
        <v>8.0629530565569638E-2</v>
      </c>
      <c r="F19" s="117">
        <v>4.7440325193312753E-2</v>
      </c>
      <c r="G19" s="118"/>
      <c r="H19" s="119">
        <v>3.7433155080213901E-2</v>
      </c>
      <c r="I19" s="120"/>
      <c r="J19" s="121">
        <v>1.338254094762723E-2</v>
      </c>
      <c r="K19" s="198"/>
    </row>
    <row r="20" spans="1:15">
      <c r="A20" s="195">
        <v>1</v>
      </c>
      <c r="B20" s="87" t="s">
        <v>13</v>
      </c>
      <c r="C20" s="196">
        <v>13008</v>
      </c>
      <c r="D20" s="197">
        <v>0.10412063418226926</v>
      </c>
      <c r="E20" s="116">
        <f t="shared" si="0"/>
        <v>0.11794007055083924</v>
      </c>
      <c r="F20" s="117">
        <v>0.11549252727772853</v>
      </c>
      <c r="G20" s="118"/>
      <c r="H20" s="119">
        <v>0.12299465240641712</v>
      </c>
      <c r="I20" s="120"/>
      <c r="J20" s="121">
        <v>9.7960652245382088E-3</v>
      </c>
      <c r="K20" s="198"/>
    </row>
    <row r="21" spans="1:15">
      <c r="A21" s="195">
        <v>3</v>
      </c>
      <c r="B21" s="87" t="s">
        <v>16</v>
      </c>
      <c r="C21" s="199">
        <v>33436</v>
      </c>
      <c r="D21" s="197">
        <v>0.11794007055083924</v>
      </c>
      <c r="E21" s="116">
        <f t="shared" si="0"/>
        <v>0.11794007055083924</v>
      </c>
      <c r="F21" s="117">
        <v>0.13856169198325133</v>
      </c>
      <c r="G21" s="118"/>
      <c r="H21" s="119">
        <v>0.14438502673796791</v>
      </c>
      <c r="I21" s="120"/>
      <c r="J21" s="121">
        <v>0.20092105611140951</v>
      </c>
      <c r="K21" s="198"/>
    </row>
    <row r="22" spans="1:15">
      <c r="A22" s="195">
        <v>13</v>
      </c>
      <c r="B22" s="87" t="s">
        <v>27</v>
      </c>
      <c r="C22" s="196">
        <v>40615</v>
      </c>
      <c r="D22" s="197">
        <v>0.19822072333992324</v>
      </c>
      <c r="E22" s="116">
        <f t="shared" si="0"/>
        <v>0.22355312633251928</v>
      </c>
      <c r="F22" s="117">
        <v>0.28893303585072894</v>
      </c>
      <c r="G22" s="118"/>
      <c r="H22" s="119">
        <v>0.16310160427807488</v>
      </c>
      <c r="I22" s="120"/>
      <c r="J22" s="121">
        <v>0.10042236821230459</v>
      </c>
      <c r="K22" s="198"/>
    </row>
    <row r="23" spans="1:15">
      <c r="A23" s="195">
        <v>4</v>
      </c>
      <c r="B23" s="87" t="s">
        <v>17</v>
      </c>
      <c r="C23" s="196">
        <v>11534</v>
      </c>
      <c r="D23" s="197">
        <v>0.22355312633251928</v>
      </c>
      <c r="E23" s="116">
        <f t="shared" si="0"/>
        <v>0.22355312633251928</v>
      </c>
      <c r="F23" s="117">
        <v>6.8253919740823371E-2</v>
      </c>
      <c r="G23" s="118"/>
      <c r="H23" s="119">
        <v>5.0802139037433157E-2</v>
      </c>
      <c r="I23" s="120"/>
      <c r="J23" s="121">
        <v>0.10631835305489264</v>
      </c>
      <c r="K23" s="198"/>
    </row>
    <row r="25" spans="1:15" s="76" customFormat="1" ht="21.75" customHeight="1"/>
    <row r="26" spans="1:15" ht="21" customHeight="1">
      <c r="A26" s="208" t="s">
        <v>202</v>
      </c>
      <c r="B26" s="176"/>
      <c r="C26" s="176"/>
      <c r="D26" s="176"/>
      <c r="E26" s="176"/>
      <c r="F26" s="176"/>
      <c r="G26" s="176"/>
      <c r="H26" s="176"/>
      <c r="I26" s="176"/>
      <c r="J26" s="176"/>
      <c r="K26" s="176"/>
    </row>
    <row r="27" spans="1:15" ht="13.5" customHeight="1">
      <c r="A27" s="176" t="s">
        <v>203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76"/>
    </row>
    <row r="28" spans="1:15" ht="14.25" customHeight="1">
      <c r="A28" s="176" t="s">
        <v>204</v>
      </c>
      <c r="B28" s="176"/>
      <c r="C28" s="176"/>
      <c r="D28" s="176"/>
      <c r="E28" s="176"/>
      <c r="F28" s="176"/>
      <c r="G28" s="176"/>
      <c r="H28" s="176"/>
      <c r="I28" s="176"/>
      <c r="J28" s="176"/>
      <c r="K28" s="176"/>
    </row>
    <row r="29" spans="1:15" ht="14.25" customHeight="1">
      <c r="A29" s="176" t="s">
        <v>206</v>
      </c>
      <c r="B29" s="176"/>
      <c r="C29" s="176"/>
      <c r="D29" s="176"/>
      <c r="E29" s="176"/>
      <c r="F29" s="176"/>
      <c r="G29" s="176"/>
      <c r="H29" s="176"/>
      <c r="I29" s="176"/>
      <c r="J29" s="176"/>
      <c r="K29" s="176"/>
    </row>
    <row r="30" spans="1:15">
      <c r="A30" s="176" t="s">
        <v>197</v>
      </c>
      <c r="B30" s="176"/>
      <c r="C30" s="176"/>
      <c r="D30" s="176"/>
      <c r="E30" s="176"/>
      <c r="F30" s="176"/>
      <c r="G30" s="176"/>
      <c r="H30" s="176"/>
      <c r="I30" s="176"/>
      <c r="J30" s="176"/>
      <c r="K30" s="176"/>
    </row>
    <row r="31" spans="1:15">
      <c r="A31" s="176"/>
      <c r="B31" s="176"/>
      <c r="C31" s="176"/>
      <c r="D31" s="176"/>
      <c r="E31" s="176"/>
      <c r="F31" s="176"/>
      <c r="G31" s="176"/>
      <c r="H31" s="176"/>
      <c r="I31" s="176"/>
      <c r="J31" s="176"/>
      <c r="K31" s="176"/>
    </row>
    <row r="32" spans="1:15" ht="21">
      <c r="A32" s="207"/>
      <c r="B32" s="207"/>
      <c r="C32" s="207"/>
      <c r="D32" s="427" t="s">
        <v>180</v>
      </c>
      <c r="E32" s="427"/>
      <c r="F32" s="427"/>
      <c r="G32" s="427"/>
      <c r="H32" s="427"/>
      <c r="I32" s="427"/>
      <c r="J32" s="427"/>
      <c r="K32" s="427"/>
      <c r="L32" s="206"/>
      <c r="M32" s="206"/>
      <c r="N32" s="206"/>
      <c r="O32" s="206"/>
    </row>
    <row r="33" spans="1:13" ht="91.5">
      <c r="A33" s="40" t="s">
        <v>72</v>
      </c>
      <c r="B33" s="40" t="s">
        <v>55</v>
      </c>
      <c r="C33" s="40" t="s">
        <v>70</v>
      </c>
      <c r="D33" s="187" t="s">
        <v>123</v>
      </c>
      <c r="E33" s="188" t="s">
        <v>173</v>
      </c>
      <c r="F33" s="189" t="s">
        <v>125</v>
      </c>
      <c r="G33" s="190" t="s">
        <v>174</v>
      </c>
      <c r="H33" s="191" t="s">
        <v>127</v>
      </c>
      <c r="I33" s="192" t="s">
        <v>175</v>
      </c>
      <c r="J33" s="193" t="s">
        <v>115</v>
      </c>
      <c r="K33" s="194" t="s">
        <v>176</v>
      </c>
    </row>
    <row r="34" spans="1:13">
      <c r="A34" s="195">
        <v>16</v>
      </c>
      <c r="B34" s="87" t="s">
        <v>31</v>
      </c>
      <c r="C34" s="196">
        <v>3005</v>
      </c>
      <c r="D34" s="197">
        <v>4.3609722060704735E-3</v>
      </c>
      <c r="E34" s="116">
        <v>4.3609722060704735E-3</v>
      </c>
      <c r="F34" s="117">
        <v>0</v>
      </c>
      <c r="G34" s="118">
        <f t="shared" ref="G34:G49" si="1">VLOOKUP(1.2 * F34,Crops2,1,TRUE)</f>
        <v>0</v>
      </c>
      <c r="H34" s="119">
        <v>1.06951871657754E-2</v>
      </c>
      <c r="I34" s="120"/>
      <c r="J34" s="121">
        <v>0</v>
      </c>
      <c r="K34" s="198"/>
      <c r="M34" s="41" t="s">
        <v>194</v>
      </c>
    </row>
    <row r="35" spans="1:13">
      <c r="A35" s="195">
        <v>12</v>
      </c>
      <c r="B35" s="87" t="s">
        <v>26</v>
      </c>
      <c r="C35" s="196">
        <v>5199</v>
      </c>
      <c r="D35" s="197">
        <v>1.2889095631274954E-2</v>
      </c>
      <c r="E35" s="116">
        <v>1.4866069698026903E-2</v>
      </c>
      <c r="F35" s="117">
        <v>0</v>
      </c>
      <c r="G35" s="118">
        <f t="shared" si="1"/>
        <v>0</v>
      </c>
      <c r="H35" s="119">
        <v>1.6042780748663103E-2</v>
      </c>
      <c r="I35" s="120"/>
      <c r="J35" s="121">
        <v>0</v>
      </c>
      <c r="K35" s="198"/>
      <c r="M35" s="210" t="s">
        <v>205</v>
      </c>
    </row>
    <row r="36" spans="1:13">
      <c r="A36" s="195">
        <v>6</v>
      </c>
      <c r="B36" s="87" t="s">
        <v>19</v>
      </c>
      <c r="C36" s="196">
        <v>8245</v>
      </c>
      <c r="D36" s="197">
        <v>1.4866069698026903E-2</v>
      </c>
      <c r="E36" s="116">
        <v>1.4866069698026903E-2</v>
      </c>
      <c r="F36" s="117">
        <v>0</v>
      </c>
      <c r="G36" s="118">
        <f t="shared" si="1"/>
        <v>0</v>
      </c>
      <c r="H36" s="119">
        <v>1.06951871657754E-2</v>
      </c>
      <c r="I36" s="120"/>
      <c r="J36" s="121">
        <v>1.3324662447896977E-2</v>
      </c>
      <c r="K36" s="198"/>
      <c r="M36" t="s">
        <v>198</v>
      </c>
    </row>
    <row r="37" spans="1:13">
      <c r="A37" s="195">
        <v>2</v>
      </c>
      <c r="B37" s="87" t="s">
        <v>15</v>
      </c>
      <c r="C37" s="196">
        <v>13921</v>
      </c>
      <c r="D37" s="197">
        <v>2.3142225840213977E-2</v>
      </c>
      <c r="E37" s="116">
        <v>2.7193084467186109E-2</v>
      </c>
      <c r="F37" s="117">
        <v>0</v>
      </c>
      <c r="G37" s="118">
        <f t="shared" si="1"/>
        <v>0</v>
      </c>
      <c r="H37" s="119">
        <v>5.6149732620320858E-2</v>
      </c>
      <c r="I37" s="120"/>
      <c r="J37" s="121">
        <v>8.8821289908192033E-2</v>
      </c>
      <c r="K37" s="198"/>
      <c r="M37" t="s">
        <v>199</v>
      </c>
    </row>
    <row r="38" spans="1:13">
      <c r="A38" s="195">
        <v>8</v>
      </c>
      <c r="B38" s="87" t="s">
        <v>21</v>
      </c>
      <c r="C38" s="196">
        <v>15601</v>
      </c>
      <c r="D38" s="197">
        <v>2.7193084467186109E-2</v>
      </c>
      <c r="E38" s="116">
        <v>3.0836919021591656E-2</v>
      </c>
      <c r="F38" s="117">
        <v>0</v>
      </c>
      <c r="G38" s="118">
        <f t="shared" si="1"/>
        <v>0</v>
      </c>
      <c r="H38" s="119">
        <v>4.2780748663101602E-2</v>
      </c>
      <c r="I38" s="120"/>
      <c r="J38" s="121">
        <v>1.3884011900459984E-2</v>
      </c>
      <c r="K38" s="198"/>
      <c r="M38" t="s">
        <v>200</v>
      </c>
    </row>
    <row r="39" spans="1:13">
      <c r="A39" s="195">
        <v>14</v>
      </c>
      <c r="B39" s="87" t="s">
        <v>28</v>
      </c>
      <c r="C39" s="196">
        <v>12982</v>
      </c>
      <c r="D39" s="197">
        <v>3.0836919021591656E-2</v>
      </c>
      <c r="E39" s="116">
        <v>3.0836919021591656E-2</v>
      </c>
      <c r="F39" s="117">
        <v>0</v>
      </c>
      <c r="G39" s="118">
        <f t="shared" si="1"/>
        <v>0</v>
      </c>
      <c r="H39" s="119">
        <v>3.7433155080213901E-2</v>
      </c>
      <c r="I39" s="120"/>
      <c r="J39" s="121">
        <v>0.10618099927426472</v>
      </c>
      <c r="K39" s="198"/>
      <c r="M39" t="s">
        <v>201</v>
      </c>
    </row>
    <row r="40" spans="1:13">
      <c r="A40" s="195">
        <v>11</v>
      </c>
      <c r="B40" s="87" t="s">
        <v>25</v>
      </c>
      <c r="C40" s="196">
        <v>17150</v>
      </c>
      <c r="D40" s="197">
        <v>5.8475791758731632E-2</v>
      </c>
      <c r="E40" s="116">
        <v>5.8475791758731632E-2</v>
      </c>
      <c r="F40" s="117">
        <v>4.1627189095021239E-3</v>
      </c>
      <c r="G40" s="118">
        <f t="shared" si="1"/>
        <v>4.1627189095021239E-3</v>
      </c>
      <c r="H40" s="119">
        <v>1.871657754010695E-2</v>
      </c>
      <c r="I40" s="120"/>
      <c r="J40" s="121">
        <v>5.3649867551889482E-3</v>
      </c>
      <c r="K40" s="198"/>
    </row>
    <row r="41" spans="1:13">
      <c r="A41" s="195">
        <v>18</v>
      </c>
      <c r="B41" s="87" t="s">
        <v>33</v>
      </c>
      <c r="C41" s="196">
        <v>7869</v>
      </c>
      <c r="D41" s="197">
        <v>1.4071403651587393E-2</v>
      </c>
      <c r="E41" s="116">
        <v>1.4866069698026903E-2</v>
      </c>
      <c r="F41" s="117">
        <v>3.4023044714080505E-2</v>
      </c>
      <c r="G41" s="118">
        <f t="shared" si="1"/>
        <v>3.5270026590054709E-2</v>
      </c>
      <c r="H41" s="119">
        <v>3.2085561497326207E-2</v>
      </c>
      <c r="I41" s="120"/>
      <c r="J41" s="121">
        <v>8.0098157727928262E-2</v>
      </c>
      <c r="K41" s="198"/>
      <c r="M41" t="s">
        <v>207</v>
      </c>
    </row>
    <row r="42" spans="1:13">
      <c r="A42" s="195">
        <v>7</v>
      </c>
      <c r="B42" s="87" t="s">
        <v>20</v>
      </c>
      <c r="C42" s="196">
        <v>72047</v>
      </c>
      <c r="D42" s="197">
        <v>4.2252975152149472E-2</v>
      </c>
      <c r="E42" s="116">
        <v>4.7447377602046752E-2</v>
      </c>
      <c r="F42" s="117">
        <v>3.5270026590054709E-2</v>
      </c>
      <c r="G42" s="118">
        <f t="shared" si="1"/>
        <v>3.5270026590054709E-2</v>
      </c>
      <c r="H42" s="119">
        <v>0.15240641711229946</v>
      </c>
      <c r="I42" s="120"/>
      <c r="J42" s="121">
        <v>0.14987205953071314</v>
      </c>
      <c r="K42" s="198"/>
      <c r="M42" t="s">
        <v>208</v>
      </c>
    </row>
    <row r="43" spans="1:13">
      <c r="A43" s="195">
        <v>17</v>
      </c>
      <c r="B43" s="87" t="s">
        <v>32</v>
      </c>
      <c r="C43" s="196">
        <v>17076</v>
      </c>
      <c r="D43" s="197">
        <v>8.0629530565569638E-2</v>
      </c>
      <c r="E43" s="116">
        <v>8.0629530565569638E-2</v>
      </c>
      <c r="F43" s="117">
        <v>4.7440325193312753E-2</v>
      </c>
      <c r="G43" s="118">
        <f t="shared" si="1"/>
        <v>4.7440325193312753E-2</v>
      </c>
      <c r="H43" s="119">
        <v>3.7433155080213901E-2</v>
      </c>
      <c r="I43" s="120"/>
      <c r="J43" s="121">
        <v>1.338254094762723E-2</v>
      </c>
      <c r="K43" s="198"/>
      <c r="M43" t="s">
        <v>209</v>
      </c>
    </row>
    <row r="44" spans="1:13">
      <c r="A44" s="195">
        <v>4</v>
      </c>
      <c r="B44" s="87" t="s">
        <v>17</v>
      </c>
      <c r="C44" s="196">
        <v>11534</v>
      </c>
      <c r="D44" s="197">
        <v>0.22355312633251928</v>
      </c>
      <c r="E44" s="116">
        <v>0.22355312633251928</v>
      </c>
      <c r="F44" s="117">
        <v>6.8253919740823371E-2</v>
      </c>
      <c r="G44" s="118">
        <f t="shared" si="1"/>
        <v>6.8253919740823371E-2</v>
      </c>
      <c r="H44" s="119">
        <v>5.0802139037433157E-2</v>
      </c>
      <c r="I44" s="120"/>
      <c r="J44" s="121">
        <v>0.10631835305489264</v>
      </c>
      <c r="K44" s="198"/>
      <c r="M44" t="s">
        <v>210</v>
      </c>
    </row>
    <row r="45" spans="1:13">
      <c r="A45" s="195">
        <v>15</v>
      </c>
      <c r="B45" s="87" t="s">
        <v>29</v>
      </c>
      <c r="C45" s="196">
        <v>23198</v>
      </c>
      <c r="D45" s="197">
        <v>0</v>
      </c>
      <c r="E45" s="116">
        <v>0</v>
      </c>
      <c r="F45" s="117">
        <v>9.242336257220575E-2</v>
      </c>
      <c r="G45" s="118">
        <f t="shared" si="1"/>
        <v>9.242336257220575E-2</v>
      </c>
      <c r="H45" s="119">
        <v>6.684491978609626E-2</v>
      </c>
      <c r="I45" s="120"/>
      <c r="J45" s="121">
        <v>8.3224883187527476E-3</v>
      </c>
      <c r="K45" s="198"/>
      <c r="M45" t="s">
        <v>211</v>
      </c>
    </row>
    <row r="46" spans="1:13">
      <c r="A46" s="195">
        <v>1</v>
      </c>
      <c r="B46" s="87" t="s">
        <v>13</v>
      </c>
      <c r="C46" s="196">
        <v>13008</v>
      </c>
      <c r="D46" s="197">
        <v>0.10412063418226926</v>
      </c>
      <c r="E46" s="116">
        <v>0.11794007055083924</v>
      </c>
      <c r="F46" s="117">
        <v>0.11549252727772853</v>
      </c>
      <c r="G46" s="118">
        <f t="shared" si="1"/>
        <v>0.13856169198325133</v>
      </c>
      <c r="H46" s="119">
        <v>0.12299465240641712</v>
      </c>
      <c r="I46" s="120"/>
      <c r="J46" s="121">
        <v>9.7960652245382088E-3</v>
      </c>
      <c r="K46" s="198"/>
      <c r="M46" t="s">
        <v>212</v>
      </c>
    </row>
    <row r="47" spans="1:13">
      <c r="A47" s="195">
        <v>3</v>
      </c>
      <c r="B47" s="87" t="s">
        <v>16</v>
      </c>
      <c r="C47" s="199">
        <v>33436</v>
      </c>
      <c r="D47" s="197">
        <v>0.11794007055083924</v>
      </c>
      <c r="E47" s="116">
        <v>0.11794007055083924</v>
      </c>
      <c r="F47" s="117">
        <v>0.13856169198325133</v>
      </c>
      <c r="G47" s="118">
        <f t="shared" si="1"/>
        <v>0.13856169198325133</v>
      </c>
      <c r="H47" s="119">
        <v>0.14438502673796791</v>
      </c>
      <c r="I47" s="120"/>
      <c r="J47" s="121">
        <v>0.20092105611140951</v>
      </c>
      <c r="K47" s="198"/>
      <c r="M47" t="s">
        <v>214</v>
      </c>
    </row>
    <row r="48" spans="1:13" ht="16.5" customHeight="1">
      <c r="A48" s="195">
        <v>5</v>
      </c>
      <c r="B48" s="87" t="s">
        <v>18</v>
      </c>
      <c r="C48" s="196">
        <v>54414</v>
      </c>
      <c r="D48" s="197">
        <v>4.7447377602046752E-2</v>
      </c>
      <c r="E48" s="116">
        <v>4.7447377602046752E-2</v>
      </c>
      <c r="F48" s="117">
        <v>0.175439347168312</v>
      </c>
      <c r="G48" s="118">
        <f t="shared" si="1"/>
        <v>0.175439347168312</v>
      </c>
      <c r="H48" s="119">
        <v>3.4759358288770054E-2</v>
      </c>
      <c r="I48" s="120"/>
      <c r="J48" s="121">
        <v>0.10329096058583102</v>
      </c>
      <c r="K48" s="198"/>
      <c r="M48" t="s">
        <v>213</v>
      </c>
    </row>
    <row r="49" spans="1:12">
      <c r="A49" s="195">
        <v>13</v>
      </c>
      <c r="B49" s="87" t="s">
        <v>27</v>
      </c>
      <c r="C49" s="196">
        <v>40615</v>
      </c>
      <c r="D49" s="197">
        <v>0.19822072333992324</v>
      </c>
      <c r="E49" s="116">
        <v>0.22355312633251928</v>
      </c>
      <c r="F49" s="117">
        <v>0.28893303585072894</v>
      </c>
      <c r="G49" s="118">
        <f t="shared" si="1"/>
        <v>0.28893303585072894</v>
      </c>
      <c r="H49" s="119">
        <v>0.16310160427807488</v>
      </c>
      <c r="I49" s="120"/>
      <c r="J49" s="121">
        <v>0.10042236821230459</v>
      </c>
      <c r="K49" s="198"/>
    </row>
    <row r="50" spans="1:12" ht="39.75" customHeight="1">
      <c r="H50"/>
      <c r="I50"/>
      <c r="J50"/>
      <c r="K50"/>
    </row>
    <row r="51" spans="1:12">
      <c r="A51" s="208" t="s">
        <v>215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</row>
    <row r="52" spans="1:12">
      <c r="A52" s="176" t="s">
        <v>216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</row>
    <row r="53" spans="1:12">
      <c r="H53"/>
      <c r="I53"/>
      <c r="J53"/>
      <c r="K53"/>
    </row>
    <row r="54" spans="1:12">
      <c r="A54" s="208" t="s">
        <v>217</v>
      </c>
      <c r="B54" s="176"/>
      <c r="C54" s="176"/>
      <c r="D54" s="176"/>
      <c r="E54" s="176"/>
      <c r="F54" s="176"/>
      <c r="G54" s="176"/>
      <c r="H54" s="176"/>
      <c r="I54" s="176"/>
      <c r="J54" s="176"/>
      <c r="K54" s="176"/>
    </row>
    <row r="55" spans="1:12">
      <c r="A55" s="176" t="s">
        <v>219</v>
      </c>
      <c r="B55" s="176"/>
      <c r="C55" s="176"/>
      <c r="D55" s="176"/>
      <c r="E55" s="176"/>
      <c r="F55" s="176"/>
      <c r="G55" s="176"/>
      <c r="H55" s="176"/>
      <c r="I55" s="176"/>
      <c r="J55" s="176"/>
      <c r="K55" s="176"/>
    </row>
    <row r="56" spans="1:12">
      <c r="A56" s="176" t="s">
        <v>220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</row>
    <row r="57" spans="1:12">
      <c r="A57" s="176" t="s">
        <v>221</v>
      </c>
      <c r="B57" s="176"/>
      <c r="C57" s="176"/>
      <c r="D57" s="176"/>
      <c r="E57" s="176"/>
      <c r="F57" s="176"/>
      <c r="G57" s="176"/>
      <c r="H57" s="176"/>
      <c r="I57" s="176"/>
      <c r="J57" s="176"/>
      <c r="K57" s="176"/>
    </row>
    <row r="58" spans="1:12">
      <c r="A58" s="176" t="s">
        <v>222</v>
      </c>
      <c r="B58" s="176"/>
      <c r="C58" s="176"/>
      <c r="D58" s="176"/>
      <c r="E58" s="176"/>
      <c r="F58" s="176"/>
      <c r="G58" s="176"/>
      <c r="H58" s="176"/>
      <c r="I58" s="176"/>
      <c r="J58" s="176"/>
      <c r="K58" s="176"/>
    </row>
    <row r="59" spans="1:12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</row>
    <row r="60" spans="1:12" ht="31.5">
      <c r="A60" s="207"/>
      <c r="B60" s="207"/>
      <c r="C60" s="207"/>
      <c r="D60" s="427" t="s">
        <v>180</v>
      </c>
      <c r="E60" s="427"/>
      <c r="F60" s="427"/>
      <c r="G60" s="427"/>
      <c r="H60" s="427"/>
      <c r="I60" s="427"/>
      <c r="J60" s="427"/>
      <c r="K60" s="427"/>
      <c r="L60" s="211" t="s">
        <v>218</v>
      </c>
    </row>
    <row r="61" spans="1:12" ht="91.5">
      <c r="A61" s="40" t="s">
        <v>72</v>
      </c>
      <c r="B61" s="40" t="s">
        <v>55</v>
      </c>
      <c r="C61" s="40" t="s">
        <v>70</v>
      </c>
      <c r="D61" s="187" t="s">
        <v>123</v>
      </c>
      <c r="E61" s="188" t="s">
        <v>173</v>
      </c>
      <c r="F61" s="189" t="s">
        <v>125</v>
      </c>
      <c r="G61" s="190" t="s">
        <v>174</v>
      </c>
      <c r="H61" s="191" t="s">
        <v>127</v>
      </c>
      <c r="I61" s="192" t="s">
        <v>175</v>
      </c>
      <c r="J61" s="193" t="s">
        <v>115</v>
      </c>
      <c r="K61" s="194" t="s">
        <v>176</v>
      </c>
      <c r="L61" s="204" t="s">
        <v>178</v>
      </c>
    </row>
    <row r="62" spans="1:12">
      <c r="A62" s="195">
        <v>15</v>
      </c>
      <c r="B62" s="87" t="s">
        <v>29</v>
      </c>
      <c r="C62" s="196">
        <v>23198</v>
      </c>
      <c r="D62" s="197">
        <v>0</v>
      </c>
      <c r="E62" s="116">
        <v>0</v>
      </c>
      <c r="F62" s="117">
        <v>9.242336257220575E-2</v>
      </c>
      <c r="G62" s="118">
        <v>9.242336257220575E-2</v>
      </c>
      <c r="H62" s="119">
        <v>6.684491978609626E-2</v>
      </c>
      <c r="I62" s="120">
        <v>6.684491978609626E-2</v>
      </c>
      <c r="J62" s="121">
        <v>8.3224883187527476E-3</v>
      </c>
      <c r="K62" s="198">
        <v>9.7960652245382088E-3</v>
      </c>
      <c r="L62" s="205">
        <v>1</v>
      </c>
    </row>
    <row r="63" spans="1:12">
      <c r="A63" s="195">
        <v>16</v>
      </c>
      <c r="B63" s="87" t="s">
        <v>31</v>
      </c>
      <c r="C63" s="196">
        <v>3005</v>
      </c>
      <c r="D63" s="197">
        <v>4.3609722060704735E-3</v>
      </c>
      <c r="E63" s="116">
        <v>4.3609722060704735E-3</v>
      </c>
      <c r="F63" s="117">
        <v>0</v>
      </c>
      <c r="G63" s="118">
        <v>0</v>
      </c>
      <c r="H63" s="119">
        <v>1.06951871657754E-2</v>
      </c>
      <c r="I63" s="120">
        <v>1.06951871657754E-2</v>
      </c>
      <c r="J63" s="121">
        <v>0</v>
      </c>
      <c r="K63" s="198">
        <v>0</v>
      </c>
      <c r="L63" s="205">
        <v>2</v>
      </c>
    </row>
    <row r="64" spans="1:12">
      <c r="A64" s="195">
        <v>6</v>
      </c>
      <c r="B64" s="87" t="s">
        <v>19</v>
      </c>
      <c r="C64" s="196">
        <v>8245</v>
      </c>
      <c r="D64" s="197">
        <v>1.4866069698026903E-2</v>
      </c>
      <c r="E64" s="116">
        <v>1.4866069698026903E-2</v>
      </c>
      <c r="F64" s="117">
        <v>0</v>
      </c>
      <c r="G64" s="118">
        <v>0</v>
      </c>
      <c r="H64" s="119">
        <v>1.06951871657754E-2</v>
      </c>
      <c r="I64" s="120">
        <v>1.06951871657754E-2</v>
      </c>
      <c r="J64" s="121">
        <v>1.3324662447896977E-2</v>
      </c>
      <c r="K64" s="198">
        <v>1.3884011900459984E-2</v>
      </c>
      <c r="L64" s="205">
        <v>3</v>
      </c>
    </row>
    <row r="65" spans="1:12">
      <c r="A65" s="195">
        <v>12</v>
      </c>
      <c r="B65" s="87" t="s">
        <v>26</v>
      </c>
      <c r="C65" s="196">
        <v>5199</v>
      </c>
      <c r="D65" s="200">
        <v>1.2889095631274954E-2</v>
      </c>
      <c r="E65" s="116">
        <v>1.4866069698026903E-2</v>
      </c>
      <c r="F65" s="117">
        <v>0</v>
      </c>
      <c r="G65" s="118">
        <v>0</v>
      </c>
      <c r="H65" s="119">
        <v>1.6042780748663103E-2</v>
      </c>
      <c r="I65" s="120">
        <v>1.871657754010695E-2</v>
      </c>
      <c r="J65" s="121">
        <v>0</v>
      </c>
      <c r="K65" s="198">
        <v>0</v>
      </c>
      <c r="L65" s="205">
        <v>4</v>
      </c>
    </row>
    <row r="66" spans="1:12">
      <c r="A66" s="195">
        <v>18</v>
      </c>
      <c r="B66" s="87" t="s">
        <v>33</v>
      </c>
      <c r="C66" s="196">
        <v>7869</v>
      </c>
      <c r="D66" s="200">
        <v>1.4071403651587393E-2</v>
      </c>
      <c r="E66" s="116">
        <v>1.4866069698026903E-2</v>
      </c>
      <c r="F66" s="117">
        <v>3.4023044714080505E-2</v>
      </c>
      <c r="G66" s="118">
        <v>3.5270026590054709E-2</v>
      </c>
      <c r="H66" s="119">
        <v>3.2085561497326207E-2</v>
      </c>
      <c r="I66" s="120">
        <v>3.7433155080213901E-2</v>
      </c>
      <c r="J66" s="121">
        <v>8.0098157727928262E-2</v>
      </c>
      <c r="K66" s="198">
        <v>8.8821289908192033E-2</v>
      </c>
      <c r="L66" s="205">
        <v>5</v>
      </c>
    </row>
    <row r="67" spans="1:12">
      <c r="A67" s="195">
        <v>2</v>
      </c>
      <c r="B67" s="87" t="s">
        <v>15</v>
      </c>
      <c r="C67" s="196">
        <v>13921</v>
      </c>
      <c r="D67" s="197">
        <v>2.3142225840213977E-2</v>
      </c>
      <c r="E67" s="116">
        <v>2.7193084467186109E-2</v>
      </c>
      <c r="F67" s="117">
        <v>0</v>
      </c>
      <c r="G67" s="118">
        <v>0</v>
      </c>
      <c r="H67" s="119">
        <v>5.6149732620320858E-2</v>
      </c>
      <c r="I67" s="120">
        <v>6.684491978609626E-2</v>
      </c>
      <c r="J67" s="121">
        <v>8.8821289908192033E-2</v>
      </c>
      <c r="K67" s="198">
        <v>0.10631835305489264</v>
      </c>
      <c r="L67" s="205">
        <v>6</v>
      </c>
    </row>
    <row r="68" spans="1:12">
      <c r="A68" s="195">
        <v>14</v>
      </c>
      <c r="B68" s="87" t="s">
        <v>28</v>
      </c>
      <c r="C68" s="196">
        <v>12982</v>
      </c>
      <c r="D68" s="197">
        <v>3.0836919021591656E-2</v>
      </c>
      <c r="E68" s="116">
        <v>3.0836919021591656E-2</v>
      </c>
      <c r="F68" s="117">
        <v>0</v>
      </c>
      <c r="G68" s="118">
        <v>0</v>
      </c>
      <c r="H68" s="119">
        <v>3.7433155080213901E-2</v>
      </c>
      <c r="I68" s="120">
        <v>4.2780748663101602E-2</v>
      </c>
      <c r="J68" s="121">
        <v>0.10618099927426472</v>
      </c>
      <c r="K68" s="198">
        <v>0.10631835305489264</v>
      </c>
      <c r="L68" s="205">
        <v>7</v>
      </c>
    </row>
    <row r="69" spans="1:12">
      <c r="A69" s="195">
        <v>8</v>
      </c>
      <c r="B69" s="87" t="s">
        <v>21</v>
      </c>
      <c r="C69" s="196">
        <v>15601</v>
      </c>
      <c r="D69" s="200">
        <v>2.7193084467186109E-2</v>
      </c>
      <c r="E69" s="116">
        <v>3.0836919021591656E-2</v>
      </c>
      <c r="F69" s="117">
        <v>0</v>
      </c>
      <c r="G69" s="118">
        <v>0</v>
      </c>
      <c r="H69" s="119">
        <v>4.2780748663101602E-2</v>
      </c>
      <c r="I69" s="120">
        <v>5.0802139037433157E-2</v>
      </c>
      <c r="J69" s="121">
        <v>1.3884011900459984E-2</v>
      </c>
      <c r="K69" s="198">
        <v>1.3884011900459984E-2</v>
      </c>
      <c r="L69" s="205">
        <v>8</v>
      </c>
    </row>
    <row r="70" spans="1:12">
      <c r="A70" s="195">
        <v>7</v>
      </c>
      <c r="B70" s="87" t="s">
        <v>20</v>
      </c>
      <c r="C70" s="196">
        <v>72047</v>
      </c>
      <c r="D70" s="197">
        <v>4.2252975152149472E-2</v>
      </c>
      <c r="E70" s="116">
        <v>4.7447377602046752E-2</v>
      </c>
      <c r="F70" s="117">
        <v>3.5270026590054709E-2</v>
      </c>
      <c r="G70" s="118">
        <v>3.5270026590054709E-2</v>
      </c>
      <c r="H70" s="119">
        <v>0.15240641711229946</v>
      </c>
      <c r="I70" s="120">
        <v>0.16310160427807488</v>
      </c>
      <c r="J70" s="121">
        <v>0.14987205953071314</v>
      </c>
      <c r="K70" s="198">
        <v>0.14987205953071314</v>
      </c>
      <c r="L70" s="205">
        <v>9</v>
      </c>
    </row>
    <row r="71" spans="1:12">
      <c r="A71" s="195">
        <v>5</v>
      </c>
      <c r="B71" s="87" t="s">
        <v>18</v>
      </c>
      <c r="C71" s="196">
        <v>54414</v>
      </c>
      <c r="D71" s="197">
        <v>4.7447377602046752E-2</v>
      </c>
      <c r="E71" s="116">
        <v>4.7447377602046752E-2</v>
      </c>
      <c r="F71" s="117">
        <v>0.175439347168312</v>
      </c>
      <c r="G71" s="118">
        <v>0.175439347168312</v>
      </c>
      <c r="H71" s="119">
        <v>3.4759358288770054E-2</v>
      </c>
      <c r="I71" s="120">
        <v>3.7433155080213901E-2</v>
      </c>
      <c r="J71" s="121">
        <v>0.10329096058583102</v>
      </c>
      <c r="K71" s="198">
        <v>0.10631835305489264</v>
      </c>
      <c r="L71" s="205">
        <v>10</v>
      </c>
    </row>
    <row r="72" spans="1:12">
      <c r="A72" s="195">
        <v>11</v>
      </c>
      <c r="B72" s="87" t="s">
        <v>25</v>
      </c>
      <c r="C72" s="196">
        <v>17150</v>
      </c>
      <c r="D72" s="197">
        <v>5.8475791758731632E-2</v>
      </c>
      <c r="E72" s="116">
        <v>5.8475791758731632E-2</v>
      </c>
      <c r="F72" s="117">
        <v>4.1627189095021239E-3</v>
      </c>
      <c r="G72" s="118">
        <v>4.1627189095021239E-3</v>
      </c>
      <c r="H72" s="119">
        <v>1.871657754010695E-2</v>
      </c>
      <c r="I72" s="120">
        <v>1.871657754010695E-2</v>
      </c>
      <c r="J72" s="121">
        <v>5.3649867551889482E-3</v>
      </c>
      <c r="K72" s="198">
        <v>5.3649867551889482E-3</v>
      </c>
      <c r="L72" s="205">
        <v>11</v>
      </c>
    </row>
    <row r="73" spans="1:12">
      <c r="A73" s="195">
        <v>17</v>
      </c>
      <c r="B73" s="87" t="s">
        <v>32</v>
      </c>
      <c r="C73" s="196">
        <v>17076</v>
      </c>
      <c r="D73" s="197">
        <v>8.0629530565569638E-2</v>
      </c>
      <c r="E73" s="116">
        <v>8.0629530565569638E-2</v>
      </c>
      <c r="F73" s="117">
        <v>4.7440325193312753E-2</v>
      </c>
      <c r="G73" s="118">
        <v>4.7440325193312753E-2</v>
      </c>
      <c r="H73" s="119">
        <v>3.7433155080213901E-2</v>
      </c>
      <c r="I73" s="120">
        <v>4.2780748663101602E-2</v>
      </c>
      <c r="J73" s="121">
        <v>1.338254094762723E-2</v>
      </c>
      <c r="K73" s="198">
        <v>1.3884011900459984E-2</v>
      </c>
      <c r="L73" s="205">
        <v>12</v>
      </c>
    </row>
    <row r="74" spans="1:12">
      <c r="A74" s="195">
        <v>1</v>
      </c>
      <c r="B74" s="87" t="s">
        <v>13</v>
      </c>
      <c r="C74" s="196">
        <v>13008</v>
      </c>
      <c r="D74" s="197">
        <v>0.10412063418226926</v>
      </c>
      <c r="E74" s="116">
        <v>0.11794007055083924</v>
      </c>
      <c r="F74" s="117">
        <v>0.11549252727772853</v>
      </c>
      <c r="G74" s="118">
        <v>0.13856169198325133</v>
      </c>
      <c r="H74" s="119">
        <v>0.12299465240641712</v>
      </c>
      <c r="I74" s="120">
        <v>0.14438502673796791</v>
      </c>
      <c r="J74" s="121">
        <v>9.7960652245382088E-3</v>
      </c>
      <c r="K74" s="198">
        <v>9.7960652245382088E-3</v>
      </c>
      <c r="L74" s="205">
        <v>13</v>
      </c>
    </row>
    <row r="75" spans="1:12">
      <c r="A75" s="195">
        <v>3</v>
      </c>
      <c r="B75" s="87" t="s">
        <v>16</v>
      </c>
      <c r="C75" s="199">
        <v>33436</v>
      </c>
      <c r="D75" s="197">
        <v>0.11794007055083924</v>
      </c>
      <c r="E75" s="116">
        <v>0.11794007055083924</v>
      </c>
      <c r="F75" s="117">
        <v>0.13856169198325133</v>
      </c>
      <c r="G75" s="118">
        <v>0.13856169198325133</v>
      </c>
      <c r="H75" s="119">
        <v>0.14438502673796791</v>
      </c>
      <c r="I75" s="120">
        <v>0.16310160427807488</v>
      </c>
      <c r="J75" s="121">
        <v>0.20092105611140951</v>
      </c>
      <c r="K75" s="198">
        <v>0.20092105611140951</v>
      </c>
      <c r="L75" s="205">
        <v>14</v>
      </c>
    </row>
    <row r="76" spans="1:12">
      <c r="A76" s="195">
        <v>4</v>
      </c>
      <c r="B76" s="87" t="s">
        <v>17</v>
      </c>
      <c r="C76" s="196">
        <v>11534</v>
      </c>
      <c r="D76" s="197">
        <v>0.22355312633251928</v>
      </c>
      <c r="E76" s="116">
        <v>0.22355312633251928</v>
      </c>
      <c r="F76" s="117">
        <v>6.8253919740823371E-2</v>
      </c>
      <c r="G76" s="118">
        <v>6.8253919740823371E-2</v>
      </c>
      <c r="H76" s="119">
        <v>5.0802139037433157E-2</v>
      </c>
      <c r="I76" s="120">
        <v>5.6149732620320858E-2</v>
      </c>
      <c r="J76" s="121">
        <v>0.10631835305489264</v>
      </c>
      <c r="K76" s="198">
        <v>0.10631835305489264</v>
      </c>
      <c r="L76" s="205">
        <v>15</v>
      </c>
    </row>
    <row r="77" spans="1:12">
      <c r="A77" s="195">
        <v>13</v>
      </c>
      <c r="B77" s="87" t="s">
        <v>27</v>
      </c>
      <c r="C77" s="196">
        <v>40615</v>
      </c>
      <c r="D77" s="200">
        <v>0.19822072333992324</v>
      </c>
      <c r="E77" s="116">
        <v>0.22355312633251928</v>
      </c>
      <c r="F77" s="117">
        <v>0.28893303585072894</v>
      </c>
      <c r="G77" s="118">
        <v>0.28893303585072894</v>
      </c>
      <c r="H77" s="119">
        <v>0.16310160427807488</v>
      </c>
      <c r="I77" s="120">
        <v>0.16310160427807488</v>
      </c>
      <c r="J77" s="121">
        <v>0.10042236821230459</v>
      </c>
      <c r="K77" s="198">
        <v>0.10631835305489264</v>
      </c>
      <c r="L77" s="205">
        <v>16</v>
      </c>
    </row>
  </sheetData>
  <sortState ref="A34:K49">
    <sortCondition ref="F34:F49"/>
  </sortState>
  <mergeCells count="3">
    <mergeCell ref="D6:K6"/>
    <mergeCell ref="D32:K32"/>
    <mergeCell ref="D60:K60"/>
  </mergeCells>
  <conditionalFormatting sqref="E8:E23">
    <cfRule type="expression" dxfId="18" priority="15">
      <formula>D8&lt;&gt;E8</formula>
    </cfRule>
  </conditionalFormatting>
  <conditionalFormatting sqref="M9">
    <cfRule type="expression" dxfId="17" priority="10">
      <formula>L9&lt;&gt;M9</formula>
    </cfRule>
  </conditionalFormatting>
  <conditionalFormatting sqref="E34:E49">
    <cfRule type="expression" dxfId="16" priority="9">
      <formula>D34&lt;&gt;E34</formula>
    </cfRule>
  </conditionalFormatting>
  <conditionalFormatting sqref="M35">
    <cfRule type="expression" dxfId="15" priority="8">
      <formula>L35&lt;&gt;M35</formula>
    </cfRule>
  </conditionalFormatting>
  <conditionalFormatting sqref="G34:G49">
    <cfRule type="expression" dxfId="14" priority="7">
      <formula>F34&lt;&gt;G34</formula>
    </cfRule>
  </conditionalFormatting>
  <conditionalFormatting sqref="G34:G49">
    <cfRule type="expression" dxfId="13" priority="6">
      <formula>F34&lt;&gt;G34</formula>
    </cfRule>
  </conditionalFormatting>
  <conditionalFormatting sqref="E62:E77">
    <cfRule type="expression" dxfId="12" priority="5">
      <formula>D62&lt;&gt;E62</formula>
    </cfRule>
  </conditionalFormatting>
  <conditionalFormatting sqref="G62:G77">
    <cfRule type="expression" dxfId="11" priority="4">
      <formula>F62&lt;&gt;G62</formula>
    </cfRule>
  </conditionalFormatting>
  <conditionalFormatting sqref="I62:I77">
    <cfRule type="expression" dxfId="10" priority="3">
      <formula>H62&lt;&gt;I62</formula>
    </cfRule>
  </conditionalFormatting>
  <conditionalFormatting sqref="K62:K77">
    <cfRule type="expression" dxfId="9" priority="2">
      <formula>J62&lt;&gt;K62</formula>
    </cfRule>
  </conditionalFormatting>
  <conditionalFormatting sqref="G62:G77">
    <cfRule type="expression" dxfId="8" priority="1">
      <formula>F62&lt;&gt;G62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N61"/>
  <sheetViews>
    <sheetView zoomScaleNormal="100" workbookViewId="0"/>
  </sheetViews>
  <sheetFormatPr defaultRowHeight="15"/>
  <cols>
    <col min="1" max="1" width="7.7109375" customWidth="1"/>
    <col min="2" max="2" width="20.28515625" customWidth="1"/>
    <col min="3" max="3" width="10.7109375" hidden="1" customWidth="1"/>
    <col min="4" max="7" width="10.7109375" customWidth="1"/>
    <col min="8" max="12" width="10.7109375" style="67" customWidth="1"/>
    <col min="13" max="22" width="10.7109375" customWidth="1"/>
    <col min="23" max="23" width="7" customWidth="1"/>
  </cols>
  <sheetData>
    <row r="1" spans="1:14" s="206" customFormat="1" ht="39.75" customHeight="1">
      <c r="A1" s="207"/>
      <c r="B1" s="207"/>
      <c r="C1" s="207"/>
      <c r="D1" s="427" t="s">
        <v>180</v>
      </c>
      <c r="E1" s="427"/>
      <c r="F1" s="427"/>
      <c r="G1" s="427"/>
      <c r="H1" s="427"/>
      <c r="I1" s="427"/>
      <c r="J1" s="427"/>
      <c r="K1" s="427"/>
      <c r="L1" s="428" t="s">
        <v>181</v>
      </c>
      <c r="M1" s="428"/>
      <c r="N1" s="428"/>
    </row>
    <row r="2" spans="1:14" ht="106.5" customHeight="1">
      <c r="A2" s="40" t="s">
        <v>72</v>
      </c>
      <c r="B2" s="40" t="s">
        <v>55</v>
      </c>
      <c r="C2" s="40" t="s">
        <v>70</v>
      </c>
      <c r="D2" s="187" t="s">
        <v>123</v>
      </c>
      <c r="E2" s="188" t="s">
        <v>173</v>
      </c>
      <c r="F2" s="189" t="s">
        <v>125</v>
      </c>
      <c r="G2" s="190" t="s">
        <v>174</v>
      </c>
      <c r="H2" s="191" t="s">
        <v>127</v>
      </c>
      <c r="I2" s="192" t="s">
        <v>175</v>
      </c>
      <c r="J2" s="193" t="s">
        <v>115</v>
      </c>
      <c r="K2" s="194" t="s">
        <v>176</v>
      </c>
      <c r="L2" s="201" t="s">
        <v>179</v>
      </c>
      <c r="M2" s="202" t="s">
        <v>172</v>
      </c>
      <c r="N2" s="204" t="s">
        <v>178</v>
      </c>
    </row>
    <row r="3" spans="1:14">
      <c r="A3" s="195">
        <v>15</v>
      </c>
      <c r="B3" s="87" t="s">
        <v>29</v>
      </c>
      <c r="C3" s="196">
        <v>23198</v>
      </c>
      <c r="D3" s="197">
        <v>0</v>
      </c>
      <c r="E3" s="116">
        <v>0</v>
      </c>
      <c r="F3" s="117">
        <v>9.242336257220575E-2</v>
      </c>
      <c r="G3" s="118">
        <v>9.242336257220575E-2</v>
      </c>
      <c r="H3" s="119">
        <v>6.684491978609626E-2</v>
      </c>
      <c r="I3" s="120">
        <v>6.684491978609626E-2</v>
      </c>
      <c r="J3" s="121">
        <v>8.3224883187527476E-3</v>
      </c>
      <c r="K3" s="198">
        <v>9.7960652245382088E-3</v>
      </c>
      <c r="L3" s="163">
        <v>7</v>
      </c>
      <c r="M3" s="203">
        <v>1</v>
      </c>
      <c r="N3" s="205">
        <v>1</v>
      </c>
    </row>
    <row r="4" spans="1:14">
      <c r="A4" s="195">
        <v>16</v>
      </c>
      <c r="B4" s="87" t="s">
        <v>31</v>
      </c>
      <c r="C4" s="196">
        <v>3005</v>
      </c>
      <c r="D4" s="197">
        <v>4.3609722060704735E-3</v>
      </c>
      <c r="E4" s="116">
        <v>4.3609722060704735E-3</v>
      </c>
      <c r="F4" s="117">
        <v>0</v>
      </c>
      <c r="G4" s="118">
        <v>0</v>
      </c>
      <c r="H4" s="119">
        <v>1.06951871657754E-2</v>
      </c>
      <c r="I4" s="120">
        <v>1.06951871657754E-2</v>
      </c>
      <c r="J4" s="121">
        <v>0</v>
      </c>
      <c r="K4" s="198">
        <v>0</v>
      </c>
      <c r="L4" s="163">
        <v>1</v>
      </c>
      <c r="M4" s="203">
        <v>2</v>
      </c>
      <c r="N4" s="205">
        <v>2</v>
      </c>
    </row>
    <row r="5" spans="1:14">
      <c r="A5" s="195">
        <v>6</v>
      </c>
      <c r="B5" s="87" t="s">
        <v>19</v>
      </c>
      <c r="C5" s="196">
        <v>8245</v>
      </c>
      <c r="D5" s="197">
        <v>1.4866069698026903E-2</v>
      </c>
      <c r="E5" s="116">
        <v>1.4866069698026903E-2</v>
      </c>
      <c r="F5" s="117">
        <v>0</v>
      </c>
      <c r="G5" s="118">
        <v>0</v>
      </c>
      <c r="H5" s="119">
        <v>1.06951871657754E-2</v>
      </c>
      <c r="I5" s="120">
        <v>1.06951871657754E-2</v>
      </c>
      <c r="J5" s="121">
        <v>1.3324662447896977E-2</v>
      </c>
      <c r="K5" s="198">
        <v>1.3884011900459984E-2</v>
      </c>
      <c r="L5" s="163">
        <v>3</v>
      </c>
      <c r="M5" s="203">
        <v>5</v>
      </c>
      <c r="N5" s="205">
        <v>3</v>
      </c>
    </row>
    <row r="6" spans="1:14">
      <c r="A6" s="195">
        <v>12</v>
      </c>
      <c r="B6" s="87" t="s">
        <v>26</v>
      </c>
      <c r="C6" s="196">
        <v>5199</v>
      </c>
      <c r="D6" s="200">
        <v>1.2889095631274954E-2</v>
      </c>
      <c r="E6" s="116">
        <v>1.4866069698026903E-2</v>
      </c>
      <c r="F6" s="117">
        <v>0</v>
      </c>
      <c r="G6" s="118">
        <v>0</v>
      </c>
      <c r="H6" s="119">
        <v>1.6042780748663103E-2</v>
      </c>
      <c r="I6" s="120">
        <v>1.871657754010695E-2</v>
      </c>
      <c r="J6" s="121">
        <v>0</v>
      </c>
      <c r="K6" s="198">
        <v>0</v>
      </c>
      <c r="L6" s="163">
        <v>2</v>
      </c>
      <c r="M6" s="203">
        <v>3</v>
      </c>
      <c r="N6" s="205">
        <v>4</v>
      </c>
    </row>
    <row r="7" spans="1:14">
      <c r="A7" s="195">
        <v>18</v>
      </c>
      <c r="B7" s="87" t="s">
        <v>33</v>
      </c>
      <c r="C7" s="196">
        <v>7869</v>
      </c>
      <c r="D7" s="200">
        <v>1.4071403651587393E-2</v>
      </c>
      <c r="E7" s="116">
        <v>1.4866069698026903E-2</v>
      </c>
      <c r="F7" s="117">
        <v>3.4023044714080505E-2</v>
      </c>
      <c r="G7" s="118">
        <v>3.5270026590054709E-2</v>
      </c>
      <c r="H7" s="119">
        <v>3.2085561497326207E-2</v>
      </c>
      <c r="I7" s="120">
        <v>3.7433155080213901E-2</v>
      </c>
      <c r="J7" s="121">
        <v>8.0098157727928262E-2</v>
      </c>
      <c r="K7" s="198">
        <v>8.8821289908192033E-2</v>
      </c>
      <c r="L7" s="163">
        <v>6</v>
      </c>
      <c r="M7" s="203">
        <v>4</v>
      </c>
      <c r="N7" s="205">
        <v>5</v>
      </c>
    </row>
    <row r="8" spans="1:14">
      <c r="A8" s="195">
        <v>2</v>
      </c>
      <c r="B8" s="87" t="s">
        <v>15</v>
      </c>
      <c r="C8" s="196">
        <v>13921</v>
      </c>
      <c r="D8" s="197">
        <v>2.3142225840213977E-2</v>
      </c>
      <c r="E8" s="116">
        <v>2.7193084467186109E-2</v>
      </c>
      <c r="F8" s="117">
        <v>0</v>
      </c>
      <c r="G8" s="118">
        <v>0</v>
      </c>
      <c r="H8" s="119">
        <v>5.6149732620320858E-2</v>
      </c>
      <c r="I8" s="120">
        <v>6.684491978609626E-2</v>
      </c>
      <c r="J8" s="121">
        <v>8.8821289908192033E-2</v>
      </c>
      <c r="K8" s="198">
        <v>0.10631835305489264</v>
      </c>
      <c r="L8" s="163">
        <v>8</v>
      </c>
      <c r="M8" s="203">
        <v>6</v>
      </c>
      <c r="N8" s="205">
        <v>6</v>
      </c>
    </row>
    <row r="9" spans="1:14">
      <c r="A9" s="195">
        <v>14</v>
      </c>
      <c r="B9" s="87" t="s">
        <v>28</v>
      </c>
      <c r="C9" s="196">
        <v>12982</v>
      </c>
      <c r="D9" s="197">
        <v>3.0836919021591656E-2</v>
      </c>
      <c r="E9" s="116">
        <v>3.0836919021591656E-2</v>
      </c>
      <c r="F9" s="117">
        <v>0</v>
      </c>
      <c r="G9" s="118">
        <v>0</v>
      </c>
      <c r="H9" s="119">
        <v>3.7433155080213901E-2</v>
      </c>
      <c r="I9" s="120">
        <v>4.2780748663101602E-2</v>
      </c>
      <c r="J9" s="121">
        <v>0.10618099927426472</v>
      </c>
      <c r="K9" s="198">
        <v>0.10631835305489264</v>
      </c>
      <c r="L9" s="163">
        <v>9</v>
      </c>
      <c r="M9" s="203">
        <v>8</v>
      </c>
      <c r="N9" s="205">
        <v>7</v>
      </c>
    </row>
    <row r="10" spans="1:14">
      <c r="A10" s="195">
        <v>8</v>
      </c>
      <c r="B10" s="87" t="s">
        <v>21</v>
      </c>
      <c r="C10" s="196">
        <v>15601</v>
      </c>
      <c r="D10" s="200">
        <v>2.7193084467186109E-2</v>
      </c>
      <c r="E10" s="116">
        <v>3.0836919021591656E-2</v>
      </c>
      <c r="F10" s="117">
        <v>0</v>
      </c>
      <c r="G10" s="118">
        <v>0</v>
      </c>
      <c r="H10" s="119">
        <v>4.2780748663101602E-2</v>
      </c>
      <c r="I10" s="120">
        <v>5.0802139037433157E-2</v>
      </c>
      <c r="J10" s="121">
        <v>1.3884011900459984E-2</v>
      </c>
      <c r="K10" s="198">
        <v>1.3884011900459984E-2</v>
      </c>
      <c r="L10" s="163">
        <v>4</v>
      </c>
      <c r="M10" s="203">
        <v>7</v>
      </c>
      <c r="N10" s="205">
        <v>8</v>
      </c>
    </row>
    <row r="11" spans="1:14">
      <c r="A11" s="195">
        <v>7</v>
      </c>
      <c r="B11" s="87" t="s">
        <v>20</v>
      </c>
      <c r="C11" s="196">
        <v>72047</v>
      </c>
      <c r="D11" s="197">
        <v>4.2252975152149472E-2</v>
      </c>
      <c r="E11" s="116">
        <v>4.7447377602046752E-2</v>
      </c>
      <c r="F11" s="117">
        <v>3.5270026590054709E-2</v>
      </c>
      <c r="G11" s="118">
        <v>3.5270026590054709E-2</v>
      </c>
      <c r="H11" s="119">
        <v>0.15240641711229946</v>
      </c>
      <c r="I11" s="120">
        <v>0.16310160427807488</v>
      </c>
      <c r="J11" s="121">
        <v>0.14987205953071314</v>
      </c>
      <c r="K11" s="198">
        <v>0.14987205953071314</v>
      </c>
      <c r="L11" s="163">
        <v>13</v>
      </c>
      <c r="M11" s="203">
        <v>9</v>
      </c>
      <c r="N11" s="205">
        <v>9</v>
      </c>
    </row>
    <row r="12" spans="1:14">
      <c r="A12" s="195">
        <v>5</v>
      </c>
      <c r="B12" s="87" t="s">
        <v>18</v>
      </c>
      <c r="C12" s="196">
        <v>54414</v>
      </c>
      <c r="D12" s="197">
        <v>4.7447377602046752E-2</v>
      </c>
      <c r="E12" s="116">
        <v>4.7447377602046752E-2</v>
      </c>
      <c r="F12" s="117">
        <v>0.175439347168312</v>
      </c>
      <c r="G12" s="118">
        <v>0.175439347168312</v>
      </c>
      <c r="H12" s="119">
        <v>3.4759358288770054E-2</v>
      </c>
      <c r="I12" s="120">
        <v>3.7433155080213901E-2</v>
      </c>
      <c r="J12" s="121">
        <v>0.10329096058583102</v>
      </c>
      <c r="K12" s="198">
        <v>0.10631835305489264</v>
      </c>
      <c r="L12" s="163">
        <v>12</v>
      </c>
      <c r="M12" s="203">
        <v>10</v>
      </c>
      <c r="N12" s="205">
        <v>10</v>
      </c>
    </row>
    <row r="13" spans="1:14">
      <c r="A13" s="195">
        <v>11</v>
      </c>
      <c r="B13" s="87" t="s">
        <v>25</v>
      </c>
      <c r="C13" s="196">
        <v>17150</v>
      </c>
      <c r="D13" s="197">
        <v>5.8475791758731632E-2</v>
      </c>
      <c r="E13" s="116">
        <v>5.8475791758731632E-2</v>
      </c>
      <c r="F13" s="117">
        <v>4.1627189095021239E-3</v>
      </c>
      <c r="G13" s="118">
        <v>4.1627189095021239E-3</v>
      </c>
      <c r="H13" s="119">
        <v>1.871657754010695E-2</v>
      </c>
      <c r="I13" s="120">
        <v>1.871657754010695E-2</v>
      </c>
      <c r="J13" s="121">
        <v>5.3649867551889482E-3</v>
      </c>
      <c r="K13" s="198">
        <v>5.3649867551889482E-3</v>
      </c>
      <c r="L13" s="163">
        <v>5</v>
      </c>
      <c r="M13" s="203">
        <v>11</v>
      </c>
      <c r="N13" s="205">
        <v>11</v>
      </c>
    </row>
    <row r="14" spans="1:14">
      <c r="A14" s="195">
        <v>17</v>
      </c>
      <c r="B14" s="87" t="s">
        <v>32</v>
      </c>
      <c r="C14" s="196">
        <v>17076</v>
      </c>
      <c r="D14" s="197">
        <v>8.0629530565569638E-2</v>
      </c>
      <c r="E14" s="116">
        <v>8.0629530565569638E-2</v>
      </c>
      <c r="F14" s="117">
        <v>4.7440325193312753E-2</v>
      </c>
      <c r="G14" s="118">
        <v>4.7440325193312753E-2</v>
      </c>
      <c r="H14" s="119">
        <v>3.7433155080213901E-2</v>
      </c>
      <c r="I14" s="120">
        <v>4.2780748663101602E-2</v>
      </c>
      <c r="J14" s="121">
        <v>1.338254094762723E-2</v>
      </c>
      <c r="K14" s="198">
        <v>1.3884011900459984E-2</v>
      </c>
      <c r="L14" s="163">
        <v>10</v>
      </c>
      <c r="M14" s="203">
        <v>12</v>
      </c>
      <c r="N14" s="205">
        <v>12</v>
      </c>
    </row>
    <row r="15" spans="1:14">
      <c r="A15" s="195">
        <v>1</v>
      </c>
      <c r="B15" s="87" t="s">
        <v>13</v>
      </c>
      <c r="C15" s="196">
        <v>13008</v>
      </c>
      <c r="D15" s="197">
        <v>0.10412063418226926</v>
      </c>
      <c r="E15" s="116">
        <v>0.11794007055083924</v>
      </c>
      <c r="F15" s="117">
        <v>0.11549252727772853</v>
      </c>
      <c r="G15" s="118">
        <v>0.13856169198325133</v>
      </c>
      <c r="H15" s="119">
        <v>0.12299465240641712</v>
      </c>
      <c r="I15" s="120">
        <v>0.14438502673796791</v>
      </c>
      <c r="J15" s="121">
        <v>9.7960652245382088E-3</v>
      </c>
      <c r="K15" s="198">
        <v>9.7960652245382088E-3</v>
      </c>
      <c r="L15" s="163">
        <v>11</v>
      </c>
      <c r="M15" s="203">
        <v>13</v>
      </c>
      <c r="N15" s="205">
        <v>13</v>
      </c>
    </row>
    <row r="16" spans="1:14">
      <c r="A16" s="195">
        <v>3</v>
      </c>
      <c r="B16" s="87" t="s">
        <v>16</v>
      </c>
      <c r="C16" s="199">
        <v>33436</v>
      </c>
      <c r="D16" s="197">
        <v>0.11794007055083924</v>
      </c>
      <c r="E16" s="116">
        <v>0.11794007055083924</v>
      </c>
      <c r="F16" s="117">
        <v>0.13856169198325133</v>
      </c>
      <c r="G16" s="118">
        <v>0.13856169198325133</v>
      </c>
      <c r="H16" s="119">
        <v>0.14438502673796791</v>
      </c>
      <c r="I16" s="120">
        <v>0.16310160427807488</v>
      </c>
      <c r="J16" s="121">
        <v>0.20092105611140951</v>
      </c>
      <c r="K16" s="198">
        <v>0.20092105611140951</v>
      </c>
      <c r="L16" s="163">
        <v>15</v>
      </c>
      <c r="M16" s="203">
        <v>14</v>
      </c>
      <c r="N16" s="205">
        <v>14</v>
      </c>
    </row>
    <row r="17" spans="1:14">
      <c r="A17" s="195">
        <v>4</v>
      </c>
      <c r="B17" s="87" t="s">
        <v>17</v>
      </c>
      <c r="C17" s="196">
        <v>11534</v>
      </c>
      <c r="D17" s="197">
        <v>0.22355312633251928</v>
      </c>
      <c r="E17" s="116">
        <v>0.22355312633251928</v>
      </c>
      <c r="F17" s="117">
        <v>6.8253919740823371E-2</v>
      </c>
      <c r="G17" s="118">
        <v>6.8253919740823371E-2</v>
      </c>
      <c r="H17" s="119">
        <v>5.0802139037433157E-2</v>
      </c>
      <c r="I17" s="120">
        <v>5.6149732620320858E-2</v>
      </c>
      <c r="J17" s="121">
        <v>0.10631835305489264</v>
      </c>
      <c r="K17" s="198">
        <v>0.10631835305489264</v>
      </c>
      <c r="L17" s="163">
        <v>14</v>
      </c>
      <c r="M17" s="203">
        <v>16</v>
      </c>
      <c r="N17" s="205">
        <v>15</v>
      </c>
    </row>
    <row r="18" spans="1:14">
      <c r="A18" s="195">
        <v>13</v>
      </c>
      <c r="B18" s="87" t="s">
        <v>27</v>
      </c>
      <c r="C18" s="196">
        <v>40615</v>
      </c>
      <c r="D18" s="200">
        <v>0.19822072333992324</v>
      </c>
      <c r="E18" s="116">
        <v>0.22355312633251928</v>
      </c>
      <c r="F18" s="117">
        <v>0.28893303585072894</v>
      </c>
      <c r="G18" s="118">
        <v>0.28893303585072894</v>
      </c>
      <c r="H18" s="119">
        <v>0.16310160427807488</v>
      </c>
      <c r="I18" s="120">
        <v>0.16310160427807488</v>
      </c>
      <c r="J18" s="121">
        <v>0.10042236821230459</v>
      </c>
      <c r="K18" s="198">
        <v>0.10631835305489264</v>
      </c>
      <c r="L18" s="163">
        <v>16</v>
      </c>
      <c r="M18" s="203">
        <v>15</v>
      </c>
      <c r="N18" s="205">
        <v>16</v>
      </c>
    </row>
    <row r="20" spans="1:14" s="76" customFormat="1" ht="21.75" customHeight="1"/>
    <row r="21" spans="1:14" ht="21" customHeight="1">
      <c r="H21"/>
      <c r="I21"/>
      <c r="J21"/>
      <c r="K21"/>
      <c r="L21"/>
    </row>
    <row r="22" spans="1:14" ht="33.75" customHeight="1">
      <c r="H22"/>
      <c r="I22"/>
      <c r="J22"/>
      <c r="K22"/>
      <c r="L22"/>
    </row>
    <row r="23" spans="1:14" ht="41.25" customHeight="1">
      <c r="H23"/>
      <c r="I23"/>
      <c r="J23"/>
      <c r="K23"/>
      <c r="L23"/>
    </row>
    <row r="24" spans="1:14">
      <c r="H24"/>
      <c r="I24"/>
      <c r="J24"/>
      <c r="K24"/>
      <c r="L24"/>
    </row>
    <row r="25" spans="1:14">
      <c r="H25"/>
      <c r="I25"/>
      <c r="J25"/>
      <c r="K25"/>
      <c r="L25"/>
    </row>
    <row r="26" spans="1:14">
      <c r="H26"/>
      <c r="I26"/>
      <c r="J26"/>
      <c r="K26"/>
      <c r="L26"/>
    </row>
    <row r="27" spans="1:14">
      <c r="H27"/>
      <c r="I27"/>
      <c r="J27"/>
      <c r="K27"/>
      <c r="L27"/>
    </row>
    <row r="28" spans="1:14">
      <c r="H28"/>
      <c r="I28"/>
      <c r="J28"/>
      <c r="K28"/>
      <c r="L28"/>
    </row>
    <row r="29" spans="1:14">
      <c r="H29"/>
      <c r="I29"/>
      <c r="J29"/>
      <c r="K29"/>
      <c r="L29"/>
    </row>
    <row r="30" spans="1:14">
      <c r="H30"/>
      <c r="I30"/>
      <c r="J30"/>
      <c r="K30"/>
      <c r="L30"/>
    </row>
    <row r="31" spans="1:14">
      <c r="H31"/>
      <c r="I31"/>
      <c r="J31"/>
      <c r="K31"/>
      <c r="L31"/>
    </row>
    <row r="32" spans="1:14">
      <c r="H32"/>
      <c r="I32"/>
      <c r="J32"/>
      <c r="K32"/>
      <c r="L32"/>
    </row>
    <row r="33" spans="8:12">
      <c r="H33"/>
      <c r="I33"/>
      <c r="J33"/>
      <c r="K33"/>
      <c r="L33"/>
    </row>
    <row r="34" spans="8:12">
      <c r="H34"/>
      <c r="I34"/>
      <c r="J34"/>
      <c r="K34"/>
      <c r="L34"/>
    </row>
    <row r="35" spans="8:12">
      <c r="H35"/>
      <c r="I35"/>
      <c r="J35"/>
      <c r="K35"/>
      <c r="L35"/>
    </row>
    <row r="36" spans="8:12">
      <c r="H36"/>
      <c r="I36"/>
      <c r="J36"/>
      <c r="K36"/>
      <c r="L36"/>
    </row>
    <row r="37" spans="8:12">
      <c r="H37"/>
      <c r="I37"/>
      <c r="J37"/>
      <c r="K37"/>
      <c r="L37"/>
    </row>
    <row r="38" spans="8:12">
      <c r="H38"/>
      <c r="I38"/>
      <c r="J38"/>
      <c r="K38"/>
      <c r="L38"/>
    </row>
    <row r="39" spans="8:12">
      <c r="H39"/>
      <c r="I39"/>
      <c r="J39"/>
      <c r="K39"/>
      <c r="L39"/>
    </row>
    <row r="40" spans="8:12">
      <c r="H40"/>
      <c r="I40"/>
      <c r="J40"/>
      <c r="K40"/>
      <c r="L40"/>
    </row>
    <row r="41" spans="8:12">
      <c r="H41"/>
      <c r="I41"/>
      <c r="J41"/>
      <c r="K41"/>
      <c r="L41"/>
    </row>
    <row r="42" spans="8:12" ht="21" customHeight="1">
      <c r="H42"/>
      <c r="I42"/>
      <c r="J42"/>
      <c r="K42"/>
      <c r="L42"/>
    </row>
    <row r="43" spans="8:12">
      <c r="H43"/>
      <c r="I43"/>
      <c r="J43"/>
      <c r="K43"/>
      <c r="L43"/>
    </row>
    <row r="44" spans="8:12" ht="39.75" customHeight="1">
      <c r="H44"/>
      <c r="I44"/>
      <c r="J44"/>
      <c r="K44"/>
      <c r="L44"/>
    </row>
    <row r="45" spans="8:12">
      <c r="H45"/>
      <c r="I45"/>
      <c r="J45"/>
      <c r="K45"/>
      <c r="L45"/>
    </row>
    <row r="46" spans="8:12">
      <c r="H46"/>
      <c r="I46"/>
      <c r="J46"/>
      <c r="K46"/>
      <c r="L46"/>
    </row>
    <row r="47" spans="8:12">
      <c r="H47"/>
      <c r="I47"/>
      <c r="J47"/>
      <c r="K47"/>
      <c r="L47"/>
    </row>
    <row r="48" spans="8:12">
      <c r="H48"/>
      <c r="I48"/>
      <c r="J48"/>
      <c r="K48"/>
      <c r="L48"/>
    </row>
    <row r="49" spans="8:12">
      <c r="H49"/>
      <c r="I49"/>
      <c r="J49"/>
      <c r="K49"/>
      <c r="L49"/>
    </row>
    <row r="50" spans="8:12">
      <c r="H50"/>
      <c r="I50"/>
      <c r="J50"/>
      <c r="K50"/>
      <c r="L50"/>
    </row>
    <row r="51" spans="8:12">
      <c r="H51"/>
      <c r="I51"/>
      <c r="J51"/>
      <c r="K51"/>
      <c r="L51"/>
    </row>
    <row r="52" spans="8:12">
      <c r="H52"/>
      <c r="I52"/>
      <c r="J52"/>
      <c r="K52"/>
      <c r="L52"/>
    </row>
    <row r="53" spans="8:12">
      <c r="H53"/>
      <c r="I53"/>
      <c r="J53"/>
      <c r="K53"/>
      <c r="L53"/>
    </row>
    <row r="54" spans="8:12">
      <c r="H54"/>
      <c r="I54"/>
      <c r="J54"/>
      <c r="K54"/>
      <c r="L54"/>
    </row>
    <row r="55" spans="8:12">
      <c r="H55"/>
      <c r="I55"/>
      <c r="J55"/>
      <c r="K55"/>
      <c r="L55"/>
    </row>
    <row r="56" spans="8:12">
      <c r="H56"/>
      <c r="I56"/>
      <c r="J56"/>
      <c r="K56"/>
      <c r="L56"/>
    </row>
    <row r="57" spans="8:12">
      <c r="H57"/>
      <c r="I57"/>
      <c r="J57"/>
      <c r="K57"/>
      <c r="L57"/>
    </row>
    <row r="58" spans="8:12">
      <c r="H58"/>
      <c r="I58"/>
      <c r="J58"/>
      <c r="K58"/>
      <c r="L58"/>
    </row>
    <row r="59" spans="8:12">
      <c r="H59"/>
      <c r="I59"/>
      <c r="J59"/>
      <c r="K59"/>
      <c r="L59"/>
    </row>
    <row r="60" spans="8:12">
      <c r="H60"/>
      <c r="I60"/>
      <c r="J60"/>
      <c r="K60"/>
      <c r="L60"/>
    </row>
    <row r="61" spans="8:12">
      <c r="H61"/>
      <c r="I61"/>
      <c r="J61"/>
      <c r="K61"/>
      <c r="L61"/>
    </row>
  </sheetData>
  <sortState ref="A2:N17">
    <sortCondition ref="E2:E17"/>
    <sortCondition ref="G2:G17"/>
    <sortCondition ref="I2:I17"/>
    <sortCondition ref="K2:K17"/>
  </sortState>
  <mergeCells count="2">
    <mergeCell ref="D1:K1"/>
    <mergeCell ref="L1:N1"/>
  </mergeCells>
  <conditionalFormatting sqref="E3:E18">
    <cfRule type="expression" dxfId="7" priority="13">
      <formula>D3&lt;&gt;E3</formula>
    </cfRule>
  </conditionalFormatting>
  <conditionalFormatting sqref="G3:G18">
    <cfRule type="expression" dxfId="6" priority="12">
      <formula>F3&lt;&gt;G3</formula>
    </cfRule>
  </conditionalFormatting>
  <conditionalFormatting sqref="I3:I18">
    <cfRule type="expression" dxfId="5" priority="11">
      <formula>H3&lt;&gt;I3</formula>
    </cfRule>
  </conditionalFormatting>
  <conditionalFormatting sqref="K3:K18">
    <cfRule type="expression" dxfId="4" priority="10">
      <formula>J3&lt;&gt;K3</formula>
    </cfRule>
  </conditionalFormatting>
  <conditionalFormatting sqref="G3:G18">
    <cfRule type="expression" dxfId="3" priority="8">
      <formula>F3&lt;&gt;G3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AC33"/>
  <sheetViews>
    <sheetView zoomScaleNormal="100" workbookViewId="0"/>
  </sheetViews>
  <sheetFormatPr defaultRowHeight="15"/>
  <cols>
    <col min="3" max="3" width="23.140625" customWidth="1"/>
    <col min="4" max="4" width="16.28515625" customWidth="1"/>
    <col min="5" max="5" width="11.5703125" customWidth="1"/>
    <col min="29" max="29" width="9.140625" customWidth="1"/>
  </cols>
  <sheetData>
    <row r="1" spans="1:29" s="401" customFormat="1" ht="123.75" customHeight="1">
      <c r="A1" s="392" t="s">
        <v>598</v>
      </c>
      <c r="B1" s="392" t="s">
        <v>599</v>
      </c>
      <c r="C1" s="392" t="s">
        <v>600</v>
      </c>
      <c r="D1" s="392" t="s">
        <v>601</v>
      </c>
      <c r="E1" s="392" t="s">
        <v>602</v>
      </c>
      <c r="F1" s="393" t="s">
        <v>603</v>
      </c>
      <c r="G1" s="393" t="s">
        <v>604</v>
      </c>
      <c r="H1" s="394" t="s">
        <v>605</v>
      </c>
      <c r="I1" s="394" t="s">
        <v>606</v>
      </c>
      <c r="J1" s="395" t="s">
        <v>607</v>
      </c>
      <c r="K1" s="395" t="s">
        <v>608</v>
      </c>
      <c r="L1" s="396" t="s">
        <v>609</v>
      </c>
      <c r="M1" s="397" t="s">
        <v>610</v>
      </c>
      <c r="N1" s="397" t="s">
        <v>611</v>
      </c>
      <c r="O1" s="397" t="s">
        <v>612</v>
      </c>
      <c r="P1" s="393" t="s">
        <v>588</v>
      </c>
      <c r="Q1" s="393" t="s">
        <v>584</v>
      </c>
      <c r="R1" s="393" t="s">
        <v>592</v>
      </c>
      <c r="S1" s="393" t="s">
        <v>594</v>
      </c>
      <c r="T1" s="398" t="s">
        <v>586</v>
      </c>
      <c r="U1" s="398" t="s">
        <v>582</v>
      </c>
      <c r="V1" s="398" t="s">
        <v>590</v>
      </c>
      <c r="W1" s="398" t="s">
        <v>596</v>
      </c>
      <c r="X1" s="399" t="s">
        <v>613</v>
      </c>
      <c r="Y1" s="399" t="s">
        <v>614</v>
      </c>
      <c r="Z1" s="399" t="s">
        <v>615</v>
      </c>
      <c r="AA1" s="399" t="s">
        <v>616</v>
      </c>
      <c r="AB1" s="398" t="s">
        <v>580</v>
      </c>
      <c r="AC1" s="400" t="s">
        <v>617</v>
      </c>
    </row>
    <row r="2" spans="1:29">
      <c r="A2" s="402">
        <v>13</v>
      </c>
      <c r="B2" s="402">
        <v>1</v>
      </c>
      <c r="C2" s="402" t="s">
        <v>27</v>
      </c>
      <c r="D2" s="403">
        <v>947357</v>
      </c>
      <c r="E2" s="402">
        <v>40615</v>
      </c>
      <c r="F2" s="404">
        <v>10227</v>
      </c>
      <c r="G2" s="404">
        <v>0.19822100000000001</v>
      </c>
      <c r="H2" s="405">
        <v>47268</v>
      </c>
      <c r="I2" s="405">
        <v>0.288933</v>
      </c>
      <c r="J2" s="406">
        <v>61</v>
      </c>
      <c r="K2" s="406">
        <v>0.163102</v>
      </c>
      <c r="L2" s="374">
        <v>0.100422</v>
      </c>
      <c r="M2" s="38">
        <v>0.187669</v>
      </c>
      <c r="N2" s="38">
        <v>16</v>
      </c>
      <c r="O2" s="38">
        <v>0.2</v>
      </c>
      <c r="P2" s="404">
        <v>10227</v>
      </c>
      <c r="Q2" s="405">
        <v>47268</v>
      </c>
      <c r="R2" s="406">
        <v>61</v>
      </c>
      <c r="S2" s="374">
        <v>0.100422</v>
      </c>
      <c r="T2" s="404">
        <f t="shared" ref="T2:T17" si="0">IF(ISBLANK(P2)=TRUE,MEDIAN(DisplacedMiss),P2)</f>
        <v>10227</v>
      </c>
      <c r="U2" s="405">
        <f t="shared" ref="U2:U17" si="1">IF(ISBLANK(Q2)=TRUE,MEDIAN(CropMiss),Q2)</f>
        <v>47268</v>
      </c>
      <c r="V2" s="406">
        <f t="shared" ref="V2:V17" si="2">IF(ISBLANK(R2)=TRUE,MEDIAN(HealthMiss),R2)</f>
        <v>61</v>
      </c>
      <c r="W2" s="374">
        <f t="shared" ref="W2:W17" si="3">IF(ISBLANK(S2)=TRUE,MEDIAN(SchoolMiss),S2)</f>
        <v>0.100422</v>
      </c>
      <c r="X2" s="404">
        <f>T2 / SUM(T$2:T$17)</f>
        <v>0.19018484769591251</v>
      </c>
      <c r="Y2" s="405">
        <f t="shared" ref="Y2:AA17" si="4">U2 / SUM(U$2:U$17)</f>
        <v>0.19495737318160633</v>
      </c>
      <c r="Z2" s="406">
        <f t="shared" si="4"/>
        <v>0.16353887399463807</v>
      </c>
      <c r="AA2" s="374">
        <f t="shared" si="4"/>
        <v>8.5910217825373558E-2</v>
      </c>
      <c r="AB2" s="407">
        <f>SUM(X2:AA2) / 4</f>
        <v>0.15864782817438261</v>
      </c>
      <c r="AC2" s="82">
        <f>RANK(AB2,AB$2:AB$17,1)</f>
        <v>16</v>
      </c>
    </row>
    <row r="3" spans="1:29">
      <c r="A3" s="402">
        <v>3</v>
      </c>
      <c r="B3" s="402">
        <v>1</v>
      </c>
      <c r="C3" s="402" t="s">
        <v>16</v>
      </c>
      <c r="D3" s="403">
        <v>1700000</v>
      </c>
      <c r="E3" s="402">
        <v>33436</v>
      </c>
      <c r="F3" s="404">
        <v>6085</v>
      </c>
      <c r="G3" s="404">
        <v>0.11794</v>
      </c>
      <c r="H3" s="405">
        <v>22668</v>
      </c>
      <c r="I3" s="405">
        <v>0.13856199999999999</v>
      </c>
      <c r="J3" s="406">
        <v>54</v>
      </c>
      <c r="K3" s="406">
        <v>0.14438500000000001</v>
      </c>
      <c r="L3" s="374">
        <v>0.20092099999999999</v>
      </c>
      <c r="M3" s="38">
        <v>0.150452</v>
      </c>
      <c r="N3" s="38">
        <v>15</v>
      </c>
      <c r="O3" s="38">
        <v>0.12</v>
      </c>
      <c r="P3" s="404">
        <v>6085</v>
      </c>
      <c r="Q3" s="405">
        <v>22668</v>
      </c>
      <c r="R3" s="406">
        <v>54</v>
      </c>
      <c r="S3" s="374">
        <v>0.20092099999999999</v>
      </c>
      <c r="T3" s="404">
        <f t="shared" si="0"/>
        <v>6085</v>
      </c>
      <c r="U3" s="405">
        <f t="shared" si="1"/>
        <v>22668</v>
      </c>
      <c r="V3" s="406">
        <f t="shared" si="2"/>
        <v>54</v>
      </c>
      <c r="W3" s="374">
        <f t="shared" si="3"/>
        <v>0.20092099999999999</v>
      </c>
      <c r="X3" s="404">
        <f t="shared" ref="X3:X17" si="5">T3 / SUM(T$2:T$17)</f>
        <v>0.11315877561646892</v>
      </c>
      <c r="Y3" s="405">
        <f t="shared" si="4"/>
        <v>9.3494409225705608E-2</v>
      </c>
      <c r="Z3" s="406">
        <f t="shared" si="4"/>
        <v>0.1447721179624665</v>
      </c>
      <c r="AA3" s="374">
        <f t="shared" si="4"/>
        <v>0.1718863085349015</v>
      </c>
      <c r="AB3" s="407">
        <f t="shared" ref="AB3:AB17" si="6">SUM(X3:AA3) / 4</f>
        <v>0.13082790283488563</v>
      </c>
      <c r="AC3" s="82">
        <f t="shared" ref="AC3:AC17" si="7">RANK(AB3,AB$2:AB$17,1)</f>
        <v>15</v>
      </c>
    </row>
    <row r="4" spans="1:29">
      <c r="A4" s="402">
        <v>4</v>
      </c>
      <c r="B4" s="402">
        <v>1</v>
      </c>
      <c r="C4" s="402" t="s">
        <v>17</v>
      </c>
      <c r="D4" s="403">
        <v>472616</v>
      </c>
      <c r="E4" s="402">
        <v>11534</v>
      </c>
      <c r="F4" s="404">
        <v>11534</v>
      </c>
      <c r="G4" s="404">
        <v>0.223553</v>
      </c>
      <c r="H4" s="405">
        <v>11166</v>
      </c>
      <c r="I4" s="405">
        <v>6.8253999999999995E-2</v>
      </c>
      <c r="J4" s="406">
        <v>19</v>
      </c>
      <c r="K4" s="406">
        <v>5.0802E-2</v>
      </c>
      <c r="L4" s="374">
        <v>0.106318</v>
      </c>
      <c r="M4" s="38">
        <v>0.112232</v>
      </c>
      <c r="N4" s="38">
        <v>14</v>
      </c>
      <c r="O4" s="38">
        <v>0.12</v>
      </c>
      <c r="P4" s="404">
        <v>11534</v>
      </c>
      <c r="Q4" s="405">
        <v>11166</v>
      </c>
      <c r="R4" s="406">
        <v>19</v>
      </c>
      <c r="S4" s="374">
        <v>0.106318</v>
      </c>
      <c r="T4" s="404">
        <f t="shared" si="0"/>
        <v>11534</v>
      </c>
      <c r="U4" s="405">
        <f t="shared" si="1"/>
        <v>11166</v>
      </c>
      <c r="V4" s="406">
        <f t="shared" si="2"/>
        <v>19</v>
      </c>
      <c r="W4" s="374">
        <f t="shared" si="3"/>
        <v>0.106318</v>
      </c>
      <c r="X4" s="404">
        <f t="shared" si="5"/>
        <v>0.21449027411016477</v>
      </c>
      <c r="Y4" s="405">
        <f t="shared" si="4"/>
        <v>4.6054286810227135E-2</v>
      </c>
      <c r="Z4" s="406">
        <f t="shared" si="4"/>
        <v>5.0938337801608578E-2</v>
      </c>
      <c r="AA4" s="374">
        <f t="shared" si="4"/>
        <v>9.0954198669196643E-2</v>
      </c>
      <c r="AB4" s="407">
        <f t="shared" si="6"/>
        <v>0.10060927434779927</v>
      </c>
      <c r="AC4" s="82">
        <f t="shared" si="7"/>
        <v>14</v>
      </c>
    </row>
    <row r="5" spans="1:29">
      <c r="A5" s="402">
        <v>7</v>
      </c>
      <c r="B5" s="402">
        <v>1</v>
      </c>
      <c r="C5" s="402" t="s">
        <v>20</v>
      </c>
      <c r="D5" s="403">
        <v>1300000</v>
      </c>
      <c r="E5" s="402">
        <v>72047</v>
      </c>
      <c r="F5" s="404">
        <v>2180</v>
      </c>
      <c r="G5" s="404">
        <v>4.2252999999999999E-2</v>
      </c>
      <c r="H5" s="405">
        <v>5770</v>
      </c>
      <c r="I5" s="405">
        <v>3.5270000000000003E-2</v>
      </c>
      <c r="J5" s="406">
        <v>57</v>
      </c>
      <c r="K5" s="406">
        <v>0.15240600000000001</v>
      </c>
      <c r="L5" s="374">
        <v>0.14987200000000001</v>
      </c>
      <c r="M5" s="38">
        <v>9.4950000000000007E-2</v>
      </c>
      <c r="N5" s="38">
        <v>13</v>
      </c>
      <c r="O5" s="38">
        <v>0.06</v>
      </c>
      <c r="P5" s="404">
        <v>2180</v>
      </c>
      <c r="Q5" s="405">
        <v>5770</v>
      </c>
      <c r="R5" s="406">
        <v>57</v>
      </c>
      <c r="S5" s="374">
        <v>0.14987200000000001</v>
      </c>
      <c r="T5" s="404">
        <f t="shared" si="0"/>
        <v>2180</v>
      </c>
      <c r="U5" s="405">
        <f t="shared" si="1"/>
        <v>5770</v>
      </c>
      <c r="V5" s="406">
        <f t="shared" si="2"/>
        <v>57</v>
      </c>
      <c r="W5" s="374">
        <f t="shared" si="3"/>
        <v>0.14987200000000001</v>
      </c>
      <c r="X5" s="404">
        <f t="shared" si="5"/>
        <v>4.0540037936549263E-2</v>
      </c>
      <c r="Y5" s="405">
        <f t="shared" si="4"/>
        <v>2.379842691160761E-2</v>
      </c>
      <c r="Z5" s="406">
        <f t="shared" si="4"/>
        <v>0.15281501340482573</v>
      </c>
      <c r="AA5" s="374">
        <f t="shared" si="4"/>
        <v>0.12821429732453432</v>
      </c>
      <c r="AB5" s="407">
        <f t="shared" si="6"/>
        <v>8.6341943894379228E-2</v>
      </c>
      <c r="AC5" s="82">
        <f t="shared" si="7"/>
        <v>13</v>
      </c>
    </row>
    <row r="6" spans="1:29">
      <c r="A6" s="402">
        <v>5</v>
      </c>
      <c r="B6" s="402">
        <v>1</v>
      </c>
      <c r="C6" s="402" t="s">
        <v>18</v>
      </c>
      <c r="D6" s="403">
        <v>708398</v>
      </c>
      <c r="E6" s="402">
        <v>54414</v>
      </c>
      <c r="F6" s="404">
        <v>2448</v>
      </c>
      <c r="G6" s="404">
        <v>4.7447000000000003E-2</v>
      </c>
      <c r="H6" s="405">
        <v>28701</v>
      </c>
      <c r="I6" s="405">
        <v>0.17543900000000001</v>
      </c>
      <c r="J6" s="406">
        <v>13</v>
      </c>
      <c r="K6" s="406">
        <v>3.4758999999999998E-2</v>
      </c>
      <c r="L6" s="374">
        <v>0.10329099999999999</v>
      </c>
      <c r="M6" s="38">
        <v>9.0233999999999995E-2</v>
      </c>
      <c r="N6" s="38">
        <v>12</v>
      </c>
      <c r="O6" s="38">
        <v>0.09</v>
      </c>
      <c r="P6" s="404">
        <v>2448</v>
      </c>
      <c r="Q6" s="405">
        <v>28701</v>
      </c>
      <c r="R6" s="406">
        <v>13</v>
      </c>
      <c r="S6" s="374">
        <v>0.10329099999999999</v>
      </c>
      <c r="T6" s="404">
        <f t="shared" si="0"/>
        <v>2448</v>
      </c>
      <c r="U6" s="405">
        <f t="shared" si="1"/>
        <v>28701</v>
      </c>
      <c r="V6" s="406">
        <f t="shared" si="2"/>
        <v>13</v>
      </c>
      <c r="W6" s="374">
        <f t="shared" si="3"/>
        <v>0.10329099999999999</v>
      </c>
      <c r="X6" s="404">
        <f t="shared" si="5"/>
        <v>4.5523859114069996E-2</v>
      </c>
      <c r="Y6" s="405">
        <f t="shared" si="4"/>
        <v>0.11837758245928076</v>
      </c>
      <c r="Z6" s="406">
        <f t="shared" si="4"/>
        <v>3.4852546916890083E-2</v>
      </c>
      <c r="AA6" s="374">
        <f t="shared" si="4"/>
        <v>8.8364624379126677E-2</v>
      </c>
      <c r="AB6" s="407">
        <f t="shared" si="6"/>
        <v>7.1779653217341879E-2</v>
      </c>
      <c r="AC6" s="82">
        <f t="shared" si="7"/>
        <v>11</v>
      </c>
    </row>
    <row r="7" spans="1:29">
      <c r="A7" s="402">
        <v>1</v>
      </c>
      <c r="B7" s="402">
        <v>1</v>
      </c>
      <c r="C7" s="402" t="s">
        <v>13</v>
      </c>
      <c r="D7" s="403">
        <v>678033</v>
      </c>
      <c r="E7" s="402">
        <v>13008</v>
      </c>
      <c r="F7" s="404">
        <v>5372</v>
      </c>
      <c r="G7" s="404">
        <v>0.10412100000000001</v>
      </c>
      <c r="H7" s="405">
        <v>18894</v>
      </c>
      <c r="I7" s="405">
        <v>0.115493</v>
      </c>
      <c r="J7" s="406">
        <v>46</v>
      </c>
      <c r="K7" s="406">
        <v>0.12299499999999999</v>
      </c>
      <c r="L7" s="374">
        <v>9.7959999999999992E-3</v>
      </c>
      <c r="M7" s="38">
        <v>8.8100999999999999E-2</v>
      </c>
      <c r="N7" s="38">
        <v>11</v>
      </c>
      <c r="O7" s="38">
        <v>0.11</v>
      </c>
      <c r="P7" s="404">
        <v>5372</v>
      </c>
      <c r="Q7" s="405">
        <v>18894</v>
      </c>
      <c r="R7" s="406">
        <v>46</v>
      </c>
      <c r="S7" s="374">
        <v>9.7959999999999992E-3</v>
      </c>
      <c r="T7" s="404">
        <f t="shared" si="0"/>
        <v>5372</v>
      </c>
      <c r="U7" s="405">
        <f t="shared" si="1"/>
        <v>18894</v>
      </c>
      <c r="V7" s="406">
        <f t="shared" si="2"/>
        <v>46</v>
      </c>
      <c r="W7" s="374">
        <f t="shared" si="3"/>
        <v>9.7959999999999992E-3</v>
      </c>
      <c r="X7" s="404">
        <f t="shared" si="5"/>
        <v>9.9899579722542486E-2</v>
      </c>
      <c r="Y7" s="405">
        <f t="shared" si="4"/>
        <v>7.7928505731007652E-2</v>
      </c>
      <c r="Z7" s="406">
        <f t="shared" si="4"/>
        <v>0.12332439678284182</v>
      </c>
      <c r="AA7" s="374">
        <f t="shared" si="4"/>
        <v>8.3803996516436576E-3</v>
      </c>
      <c r="AB7" s="407">
        <f t="shared" si="6"/>
        <v>7.7383220472008907E-2</v>
      </c>
      <c r="AC7" s="82">
        <f t="shared" si="7"/>
        <v>12</v>
      </c>
    </row>
    <row r="8" spans="1:29">
      <c r="A8" s="402">
        <v>17</v>
      </c>
      <c r="B8" s="402">
        <v>1</v>
      </c>
      <c r="C8" s="402" t="s">
        <v>32</v>
      </c>
      <c r="D8" s="403">
        <v>482785</v>
      </c>
      <c r="E8" s="402">
        <v>17076</v>
      </c>
      <c r="F8" s="404">
        <v>4160</v>
      </c>
      <c r="G8" s="404">
        <v>8.0629999999999993E-2</v>
      </c>
      <c r="H8" s="405">
        <v>7761</v>
      </c>
      <c r="I8" s="405">
        <v>4.7440000000000003E-2</v>
      </c>
      <c r="J8" s="406">
        <v>14</v>
      </c>
      <c r="K8" s="406">
        <v>3.7433000000000001E-2</v>
      </c>
      <c r="L8" s="374">
        <v>1.3383000000000001E-2</v>
      </c>
      <c r="M8" s="38">
        <v>4.4720999999999997E-2</v>
      </c>
      <c r="N8" s="38">
        <v>10</v>
      </c>
      <c r="O8" s="38">
        <v>0.05</v>
      </c>
      <c r="P8" s="404">
        <v>4160</v>
      </c>
      <c r="Q8" s="405">
        <v>7761</v>
      </c>
      <c r="R8" s="406">
        <v>14</v>
      </c>
      <c r="S8" s="374">
        <v>1.3383000000000001E-2</v>
      </c>
      <c r="T8" s="404">
        <f t="shared" si="0"/>
        <v>4160</v>
      </c>
      <c r="U8" s="405">
        <f t="shared" si="1"/>
        <v>7761</v>
      </c>
      <c r="V8" s="406">
        <f t="shared" si="2"/>
        <v>14</v>
      </c>
      <c r="W8" s="374">
        <f t="shared" si="3"/>
        <v>1.3383000000000001E-2</v>
      </c>
      <c r="X8" s="404">
        <f t="shared" si="5"/>
        <v>7.7360806337635285E-2</v>
      </c>
      <c r="Y8" s="405">
        <f t="shared" si="4"/>
        <v>3.2010327774867703E-2</v>
      </c>
      <c r="Z8" s="406">
        <f t="shared" si="4"/>
        <v>3.7533512064343161E-2</v>
      </c>
      <c r="AA8" s="374">
        <f t="shared" si="4"/>
        <v>1.1449049462836574E-2</v>
      </c>
      <c r="AB8" s="407">
        <f t="shared" si="6"/>
        <v>3.9588423909920678E-2</v>
      </c>
      <c r="AC8" s="82">
        <f t="shared" si="7"/>
        <v>7</v>
      </c>
    </row>
    <row r="9" spans="1:29">
      <c r="A9" s="402">
        <v>14</v>
      </c>
      <c r="B9" s="402">
        <v>1</v>
      </c>
      <c r="C9" s="402" t="s">
        <v>28</v>
      </c>
      <c r="D9" s="403">
        <v>397107</v>
      </c>
      <c r="E9" s="402">
        <v>12982</v>
      </c>
      <c r="F9" s="404">
        <v>1591</v>
      </c>
      <c r="G9" s="404">
        <v>3.0837E-2</v>
      </c>
      <c r="H9" s="405">
        <v>0</v>
      </c>
      <c r="I9" s="405">
        <v>0</v>
      </c>
      <c r="J9" s="406">
        <v>14</v>
      </c>
      <c r="K9" s="406">
        <v>3.7433000000000001E-2</v>
      </c>
      <c r="L9" s="374">
        <v>0.106181</v>
      </c>
      <c r="M9" s="38">
        <v>4.3612999999999999E-2</v>
      </c>
      <c r="N9" s="38">
        <v>9</v>
      </c>
      <c r="O9" s="38">
        <v>0.03</v>
      </c>
      <c r="P9" s="404">
        <v>1591</v>
      </c>
      <c r="Q9" s="405"/>
      <c r="R9" s="406">
        <v>14</v>
      </c>
      <c r="S9" s="374">
        <v>0.106181</v>
      </c>
      <c r="T9" s="404">
        <f t="shared" si="0"/>
        <v>1591</v>
      </c>
      <c r="U9" s="405">
        <f t="shared" si="1"/>
        <v>13143</v>
      </c>
      <c r="V9" s="406">
        <f t="shared" si="2"/>
        <v>14</v>
      </c>
      <c r="W9" s="374">
        <f t="shared" si="3"/>
        <v>0.106181</v>
      </c>
      <c r="X9" s="404">
        <f t="shared" si="5"/>
        <v>2.9586789154610035E-2</v>
      </c>
      <c r="Y9" s="405">
        <f t="shared" si="4"/>
        <v>5.420844452326843E-2</v>
      </c>
      <c r="Z9" s="406">
        <f t="shared" si="4"/>
        <v>3.7533512064343161E-2</v>
      </c>
      <c r="AA9" s="374">
        <f t="shared" si="4"/>
        <v>9.0836996264921921E-2</v>
      </c>
      <c r="AB9" s="407">
        <f t="shared" si="6"/>
        <v>5.3041435501785889E-2</v>
      </c>
      <c r="AC9" s="82">
        <f t="shared" si="7"/>
        <v>10</v>
      </c>
    </row>
    <row r="10" spans="1:29">
      <c r="A10" s="402">
        <v>2</v>
      </c>
      <c r="B10" s="402">
        <v>1</v>
      </c>
      <c r="C10" s="402" t="s">
        <v>15</v>
      </c>
      <c r="D10" s="403">
        <v>1000000</v>
      </c>
      <c r="E10" s="402">
        <v>13921</v>
      </c>
      <c r="F10" s="404">
        <v>1194</v>
      </c>
      <c r="G10" s="404">
        <v>2.3141999999999999E-2</v>
      </c>
      <c r="H10" s="405">
        <v>0</v>
      </c>
      <c r="I10" s="405">
        <v>0</v>
      </c>
      <c r="J10" s="406">
        <v>21</v>
      </c>
      <c r="K10" s="406">
        <v>5.6149999999999999E-2</v>
      </c>
      <c r="L10" s="374">
        <v>8.8820999999999997E-2</v>
      </c>
      <c r="M10" s="38">
        <v>4.2028000000000003E-2</v>
      </c>
      <c r="N10" s="38">
        <v>8</v>
      </c>
      <c r="O10" s="38">
        <v>0.04</v>
      </c>
      <c r="P10" s="404">
        <v>1194</v>
      </c>
      <c r="Q10" s="405"/>
      <c r="R10" s="406">
        <v>21</v>
      </c>
      <c r="S10" s="374">
        <v>8.8820999999999997E-2</v>
      </c>
      <c r="T10" s="404">
        <f t="shared" si="0"/>
        <v>1194</v>
      </c>
      <c r="U10" s="405">
        <f t="shared" si="1"/>
        <v>13143</v>
      </c>
      <c r="V10" s="406">
        <f t="shared" si="2"/>
        <v>21</v>
      </c>
      <c r="W10" s="374">
        <f t="shared" si="3"/>
        <v>8.8820999999999997E-2</v>
      </c>
      <c r="X10" s="404">
        <f t="shared" si="5"/>
        <v>2.2204039126715511E-2</v>
      </c>
      <c r="Y10" s="405">
        <f t="shared" si="4"/>
        <v>5.420844452326843E-2</v>
      </c>
      <c r="Z10" s="406">
        <f t="shared" si="4"/>
        <v>5.6300268096514748E-2</v>
      </c>
      <c r="AA10" s="374">
        <f t="shared" si="4"/>
        <v>7.5985655110110378E-2</v>
      </c>
      <c r="AB10" s="407">
        <f t="shared" si="6"/>
        <v>5.2174601714152266E-2</v>
      </c>
      <c r="AC10" s="82">
        <f t="shared" si="7"/>
        <v>9</v>
      </c>
    </row>
    <row r="11" spans="1:29">
      <c r="A11" s="402">
        <v>15</v>
      </c>
      <c r="B11" s="402">
        <v>1</v>
      </c>
      <c r="C11" s="402" t="s">
        <v>29</v>
      </c>
      <c r="D11" s="403">
        <v>896309</v>
      </c>
      <c r="E11" s="402">
        <v>23198</v>
      </c>
      <c r="F11" s="404">
        <v>0</v>
      </c>
      <c r="G11" s="404">
        <v>0</v>
      </c>
      <c r="H11" s="405">
        <v>15120</v>
      </c>
      <c r="I11" s="405">
        <v>9.2423000000000005E-2</v>
      </c>
      <c r="J11" s="406">
        <v>25</v>
      </c>
      <c r="K11" s="406">
        <v>6.6845000000000002E-2</v>
      </c>
      <c r="L11" s="374">
        <v>8.3219999999999995E-3</v>
      </c>
      <c r="M11" s="38">
        <v>4.1897999999999998E-2</v>
      </c>
      <c r="N11" s="38">
        <v>7</v>
      </c>
      <c r="O11" s="38">
        <v>0.08</v>
      </c>
      <c r="P11" s="404"/>
      <c r="Q11" s="405">
        <v>15120</v>
      </c>
      <c r="R11" s="406">
        <v>25</v>
      </c>
      <c r="S11" s="374">
        <v>8.3219999999999995E-3</v>
      </c>
      <c r="T11" s="404">
        <f t="shared" si="0"/>
        <v>2180</v>
      </c>
      <c r="U11" s="405">
        <f t="shared" si="1"/>
        <v>15120</v>
      </c>
      <c r="V11" s="406">
        <f t="shared" si="2"/>
        <v>25</v>
      </c>
      <c r="W11" s="374">
        <f t="shared" si="3"/>
        <v>8.3219999999999995E-3</v>
      </c>
      <c r="X11" s="404">
        <f t="shared" si="5"/>
        <v>4.0540037936549263E-2</v>
      </c>
      <c r="Y11" s="405">
        <f t="shared" si="4"/>
        <v>6.2362602236309718E-2</v>
      </c>
      <c r="Z11" s="406">
        <f t="shared" si="4"/>
        <v>6.7024128686327081E-2</v>
      </c>
      <c r="AA11" s="374">
        <f t="shared" si="4"/>
        <v>7.1194044406878839E-3</v>
      </c>
      <c r="AB11" s="407">
        <f t="shared" si="6"/>
        <v>4.4261543324968483E-2</v>
      </c>
      <c r="AC11" s="82">
        <f t="shared" si="7"/>
        <v>8</v>
      </c>
    </row>
    <row r="12" spans="1:29">
      <c r="A12" s="402">
        <v>18</v>
      </c>
      <c r="B12" s="402">
        <v>1</v>
      </c>
      <c r="C12" s="402" t="s">
        <v>33</v>
      </c>
      <c r="D12" s="403">
        <v>843931</v>
      </c>
      <c r="E12" s="402">
        <v>7869</v>
      </c>
      <c r="F12" s="404">
        <v>726</v>
      </c>
      <c r="G12" s="404">
        <v>1.4071E-2</v>
      </c>
      <c r="H12" s="405">
        <v>5566</v>
      </c>
      <c r="I12" s="405">
        <v>3.4022999999999998E-2</v>
      </c>
      <c r="J12" s="406">
        <v>12</v>
      </c>
      <c r="K12" s="406">
        <v>3.2086000000000003E-2</v>
      </c>
      <c r="L12" s="374">
        <v>8.0098000000000003E-2</v>
      </c>
      <c r="M12" s="38">
        <v>4.0070000000000001E-2</v>
      </c>
      <c r="N12" s="38">
        <v>6</v>
      </c>
      <c r="O12" s="38">
        <v>0.03</v>
      </c>
      <c r="P12" s="404">
        <v>726</v>
      </c>
      <c r="Q12" s="405">
        <v>5566</v>
      </c>
      <c r="R12" s="406">
        <v>12</v>
      </c>
      <c r="S12" s="374">
        <v>8.0098000000000003E-2</v>
      </c>
      <c r="T12" s="404">
        <f t="shared" si="0"/>
        <v>726</v>
      </c>
      <c r="U12" s="405">
        <f t="shared" si="1"/>
        <v>5566</v>
      </c>
      <c r="V12" s="406">
        <f t="shared" si="2"/>
        <v>12</v>
      </c>
      <c r="W12" s="374">
        <f t="shared" si="3"/>
        <v>8.0098000000000003E-2</v>
      </c>
      <c r="X12" s="404">
        <f t="shared" si="5"/>
        <v>1.3500948413731543E-2</v>
      </c>
      <c r="Y12" s="405">
        <f t="shared" si="4"/>
        <v>2.2957026722705019E-2</v>
      </c>
      <c r="Z12" s="406">
        <f t="shared" si="4"/>
        <v>3.2171581769436998E-2</v>
      </c>
      <c r="AA12" s="374">
        <f t="shared" si="4"/>
        <v>6.8523198376618383E-2</v>
      </c>
      <c r="AB12" s="407">
        <f t="shared" si="6"/>
        <v>3.4288188820622983E-2</v>
      </c>
      <c r="AC12" s="82">
        <f t="shared" si="7"/>
        <v>4</v>
      </c>
    </row>
    <row r="13" spans="1:29">
      <c r="A13" s="402">
        <v>11</v>
      </c>
      <c r="B13" s="402">
        <v>1</v>
      </c>
      <c r="C13" s="402" t="s">
        <v>25</v>
      </c>
      <c r="D13" s="403">
        <v>2000000</v>
      </c>
      <c r="E13" s="402">
        <v>17150</v>
      </c>
      <c r="F13" s="404">
        <v>3017</v>
      </c>
      <c r="G13" s="404">
        <v>5.8476E-2</v>
      </c>
      <c r="H13" s="405">
        <v>681</v>
      </c>
      <c r="I13" s="405">
        <v>4.163E-3</v>
      </c>
      <c r="J13" s="406">
        <v>7</v>
      </c>
      <c r="K13" s="406">
        <v>1.8717000000000001E-2</v>
      </c>
      <c r="L13" s="374">
        <v>5.365E-3</v>
      </c>
      <c r="M13" s="38">
        <v>2.1680000000000001E-2</v>
      </c>
      <c r="N13" s="38">
        <v>5</v>
      </c>
      <c r="O13" s="38">
        <v>0.02</v>
      </c>
      <c r="P13" s="404">
        <v>3017</v>
      </c>
      <c r="Q13" s="405">
        <v>681</v>
      </c>
      <c r="R13" s="406">
        <v>7</v>
      </c>
      <c r="S13" s="374">
        <v>5.365E-3</v>
      </c>
      <c r="T13" s="404">
        <f t="shared" si="0"/>
        <v>3017</v>
      </c>
      <c r="U13" s="405">
        <f t="shared" si="1"/>
        <v>681</v>
      </c>
      <c r="V13" s="406">
        <f t="shared" si="2"/>
        <v>7</v>
      </c>
      <c r="W13" s="374">
        <f t="shared" si="3"/>
        <v>5.365E-3</v>
      </c>
      <c r="X13" s="404">
        <f t="shared" si="5"/>
        <v>5.6105180942462897E-2</v>
      </c>
      <c r="Y13" s="405">
        <f t="shared" si="4"/>
        <v>2.808791807071886E-3</v>
      </c>
      <c r="Z13" s="406">
        <f t="shared" si="4"/>
        <v>1.876675603217158E-2</v>
      </c>
      <c r="AA13" s="374">
        <f t="shared" si="4"/>
        <v>4.5897145907582912E-3</v>
      </c>
      <c r="AB13" s="407">
        <f t="shared" si="6"/>
        <v>2.0567610843116167E-2</v>
      </c>
      <c r="AC13" s="82">
        <f t="shared" si="7"/>
        <v>1</v>
      </c>
    </row>
    <row r="14" spans="1:29">
      <c r="A14" s="402">
        <v>8</v>
      </c>
      <c r="B14" s="402">
        <v>1</v>
      </c>
      <c r="C14" s="402" t="s">
        <v>21</v>
      </c>
      <c r="D14" s="403">
        <v>318523</v>
      </c>
      <c r="E14" s="402">
        <v>15601</v>
      </c>
      <c r="F14" s="404">
        <v>1403</v>
      </c>
      <c r="G14" s="404">
        <v>2.7192999999999998E-2</v>
      </c>
      <c r="H14" s="405">
        <v>0</v>
      </c>
      <c r="I14" s="405">
        <v>0</v>
      </c>
      <c r="J14" s="406">
        <v>16</v>
      </c>
      <c r="K14" s="406">
        <v>4.2781E-2</v>
      </c>
      <c r="L14" s="374">
        <v>1.3884000000000001E-2</v>
      </c>
      <c r="M14" s="38">
        <v>2.0964E-2</v>
      </c>
      <c r="N14" s="38">
        <v>4</v>
      </c>
      <c r="O14" s="38">
        <v>0.08</v>
      </c>
      <c r="P14" s="404">
        <v>1403</v>
      </c>
      <c r="Q14" s="405"/>
      <c r="R14" s="406">
        <v>16</v>
      </c>
      <c r="S14" s="374">
        <v>1.3884000000000001E-2</v>
      </c>
      <c r="T14" s="404">
        <f t="shared" si="0"/>
        <v>1403</v>
      </c>
      <c r="U14" s="405">
        <f t="shared" si="1"/>
        <v>13143</v>
      </c>
      <c r="V14" s="406">
        <f t="shared" si="2"/>
        <v>16</v>
      </c>
      <c r="W14" s="374">
        <f t="shared" si="3"/>
        <v>1.3884000000000001E-2</v>
      </c>
      <c r="X14" s="404">
        <f t="shared" si="5"/>
        <v>2.6090675791274595E-2</v>
      </c>
      <c r="Y14" s="405">
        <f t="shared" si="4"/>
        <v>5.420844452326843E-2</v>
      </c>
      <c r="Z14" s="406">
        <f t="shared" si="4"/>
        <v>4.2895442359249331E-2</v>
      </c>
      <c r="AA14" s="374">
        <f t="shared" si="4"/>
        <v>1.1877650955841215E-2</v>
      </c>
      <c r="AB14" s="407">
        <f t="shared" si="6"/>
        <v>3.3768053407408391E-2</v>
      </c>
      <c r="AC14" s="82">
        <f t="shared" si="7"/>
        <v>3</v>
      </c>
    </row>
    <row r="15" spans="1:29">
      <c r="A15" s="402">
        <v>6</v>
      </c>
      <c r="B15" s="402">
        <v>1</v>
      </c>
      <c r="C15" s="402" t="s">
        <v>19</v>
      </c>
      <c r="D15" s="403">
        <v>585110</v>
      </c>
      <c r="E15" s="402">
        <v>8245</v>
      </c>
      <c r="F15" s="404">
        <v>767</v>
      </c>
      <c r="G15" s="404">
        <v>1.4866000000000001E-2</v>
      </c>
      <c r="H15" s="405">
        <v>0</v>
      </c>
      <c r="I15" s="405">
        <v>0</v>
      </c>
      <c r="J15" s="406">
        <v>4</v>
      </c>
      <c r="K15" s="406">
        <v>1.0695E-2</v>
      </c>
      <c r="L15" s="374">
        <v>1.3325E-2</v>
      </c>
      <c r="M15" s="38">
        <v>9.7210000000000005E-3</v>
      </c>
      <c r="N15" s="38">
        <v>3</v>
      </c>
      <c r="O15" s="38">
        <v>0.02</v>
      </c>
      <c r="P15" s="404">
        <v>767</v>
      </c>
      <c r="Q15" s="405"/>
      <c r="R15" s="406">
        <v>4</v>
      </c>
      <c r="S15" s="374">
        <v>1.3325E-2</v>
      </c>
      <c r="T15" s="404">
        <f t="shared" si="0"/>
        <v>767</v>
      </c>
      <c r="U15" s="405">
        <f t="shared" si="1"/>
        <v>13143</v>
      </c>
      <c r="V15" s="406">
        <f t="shared" si="2"/>
        <v>4</v>
      </c>
      <c r="W15" s="374">
        <f t="shared" si="3"/>
        <v>1.3325E-2</v>
      </c>
      <c r="X15" s="404">
        <f t="shared" si="5"/>
        <v>1.4263398668501506E-2</v>
      </c>
      <c r="Y15" s="405">
        <f t="shared" si="4"/>
        <v>5.420844452326843E-2</v>
      </c>
      <c r="Z15" s="406">
        <f t="shared" si="4"/>
        <v>1.0723860589812333E-2</v>
      </c>
      <c r="AA15" s="374">
        <f t="shared" si="4"/>
        <v>1.1399430926720267E-2</v>
      </c>
      <c r="AB15" s="407">
        <f t="shared" si="6"/>
        <v>2.2648783677075637E-2</v>
      </c>
      <c r="AC15" s="82">
        <f t="shared" si="7"/>
        <v>2</v>
      </c>
    </row>
    <row r="16" spans="1:29">
      <c r="A16" s="402">
        <v>12</v>
      </c>
      <c r="B16" s="402">
        <v>1</v>
      </c>
      <c r="C16" s="402" t="s">
        <v>26</v>
      </c>
      <c r="D16" s="403">
        <v>170852</v>
      </c>
      <c r="E16" s="402">
        <v>5199</v>
      </c>
      <c r="F16" s="404">
        <v>665</v>
      </c>
      <c r="G16" s="404">
        <v>1.2888999999999999E-2</v>
      </c>
      <c r="H16" s="405">
        <v>0</v>
      </c>
      <c r="I16" s="405">
        <v>0</v>
      </c>
      <c r="J16" s="406">
        <v>6</v>
      </c>
      <c r="K16" s="406">
        <v>1.6043000000000002E-2</v>
      </c>
      <c r="L16" s="374">
        <v>0</v>
      </c>
      <c r="M16" s="38">
        <v>7.2329999999999998E-3</v>
      </c>
      <c r="N16" s="38">
        <v>2</v>
      </c>
      <c r="O16" s="38">
        <v>0.01</v>
      </c>
      <c r="P16" s="404">
        <v>665</v>
      </c>
      <c r="Q16" s="405"/>
      <c r="R16" s="406">
        <v>6</v>
      </c>
      <c r="S16" s="374"/>
      <c r="T16" s="404">
        <f t="shared" si="0"/>
        <v>665</v>
      </c>
      <c r="U16" s="405">
        <f t="shared" si="1"/>
        <v>13143</v>
      </c>
      <c r="V16" s="406">
        <f t="shared" si="2"/>
        <v>6</v>
      </c>
      <c r="W16" s="374">
        <f t="shared" si="3"/>
        <v>8.4459499999999993E-2</v>
      </c>
      <c r="X16" s="404">
        <f t="shared" si="5"/>
        <v>1.2366571205415256E-2</v>
      </c>
      <c r="Y16" s="405">
        <f t="shared" si="4"/>
        <v>5.420844452326843E-2</v>
      </c>
      <c r="Z16" s="406">
        <f t="shared" si="4"/>
        <v>1.6085790884718499E-2</v>
      </c>
      <c r="AA16" s="374">
        <f t="shared" si="4"/>
        <v>7.2254426743364381E-2</v>
      </c>
      <c r="AB16" s="407">
        <f t="shared" si="6"/>
        <v>3.8728808339191637E-2</v>
      </c>
      <c r="AC16" s="82">
        <f t="shared" si="7"/>
        <v>6</v>
      </c>
    </row>
    <row r="17" spans="1:29">
      <c r="A17" s="402">
        <v>16</v>
      </c>
      <c r="B17" s="402">
        <v>1</v>
      </c>
      <c r="C17" s="402" t="s">
        <v>31</v>
      </c>
      <c r="D17" s="403">
        <v>111734</v>
      </c>
      <c r="E17" s="402">
        <v>3005</v>
      </c>
      <c r="F17" s="404">
        <v>225</v>
      </c>
      <c r="G17" s="404">
        <v>4.3610000000000003E-3</v>
      </c>
      <c r="H17" s="405">
        <v>0</v>
      </c>
      <c r="I17" s="405">
        <v>0</v>
      </c>
      <c r="J17" s="406">
        <v>4</v>
      </c>
      <c r="K17" s="406">
        <v>1.0695E-2</v>
      </c>
      <c r="L17" s="374">
        <v>0</v>
      </c>
      <c r="M17" s="38">
        <v>3.764E-3</v>
      </c>
      <c r="N17" s="38">
        <v>1</v>
      </c>
      <c r="O17" s="38">
        <v>0</v>
      </c>
      <c r="P17" s="404">
        <v>225</v>
      </c>
      <c r="Q17" s="405"/>
      <c r="R17" s="406">
        <v>4</v>
      </c>
      <c r="S17" s="374"/>
      <c r="T17" s="404">
        <f t="shared" si="0"/>
        <v>225</v>
      </c>
      <c r="U17" s="405">
        <f t="shared" si="1"/>
        <v>13143</v>
      </c>
      <c r="V17" s="406">
        <f t="shared" si="2"/>
        <v>4</v>
      </c>
      <c r="W17" s="374">
        <f t="shared" si="3"/>
        <v>8.4459499999999993E-2</v>
      </c>
      <c r="X17" s="404">
        <f t="shared" si="5"/>
        <v>4.1841782273961394E-3</v>
      </c>
      <c r="Y17" s="405">
        <f t="shared" si="4"/>
        <v>5.420844452326843E-2</v>
      </c>
      <c r="Z17" s="406">
        <f t="shared" si="4"/>
        <v>1.0723860589812333E-2</v>
      </c>
      <c r="AA17" s="374">
        <f t="shared" si="4"/>
        <v>7.2254426743364381E-2</v>
      </c>
      <c r="AB17" s="407">
        <f t="shared" si="6"/>
        <v>3.5342727520960321E-2</v>
      </c>
      <c r="AC17" s="82">
        <f t="shared" si="7"/>
        <v>5</v>
      </c>
    </row>
    <row r="18" spans="1:29" s="408" customFormat="1">
      <c r="A18" s="408">
        <v>9</v>
      </c>
      <c r="B18" s="408">
        <v>0</v>
      </c>
      <c r="C18" s="408" t="s">
        <v>22</v>
      </c>
      <c r="D18" s="409">
        <v>185443</v>
      </c>
      <c r="E18" s="408">
        <v>716</v>
      </c>
      <c r="F18" s="408" t="s">
        <v>618</v>
      </c>
    </row>
    <row r="19" spans="1:29" s="408" customFormat="1">
      <c r="A19" s="408">
        <v>10</v>
      </c>
      <c r="B19" s="408">
        <v>0</v>
      </c>
      <c r="C19" s="408" t="s">
        <v>619</v>
      </c>
      <c r="D19" s="409">
        <v>70482</v>
      </c>
      <c r="E19" s="408">
        <v>258</v>
      </c>
      <c r="F19" s="408" t="s">
        <v>618</v>
      </c>
    </row>
    <row r="20" spans="1:29">
      <c r="F20" s="429" t="s">
        <v>620</v>
      </c>
      <c r="G20" s="429"/>
      <c r="H20" s="429"/>
      <c r="I20" s="429"/>
      <c r="J20" s="429"/>
      <c r="K20" s="429"/>
      <c r="L20" s="429"/>
      <c r="M20" s="429"/>
      <c r="N20" s="429"/>
      <c r="O20" t="s">
        <v>621</v>
      </c>
      <c r="P20" s="430" t="s">
        <v>622</v>
      </c>
      <c r="Q20" s="430"/>
      <c r="R20" s="430"/>
      <c r="S20" s="430"/>
      <c r="T20" s="431" t="s">
        <v>623</v>
      </c>
      <c r="U20" s="431"/>
      <c r="V20" s="431"/>
      <c r="W20" s="431"/>
      <c r="X20" s="431"/>
      <c r="Y20" s="431"/>
      <c r="Z20" s="431"/>
      <c r="AA20" s="431"/>
      <c r="AB20" s="431"/>
      <c r="AC20" s="431"/>
    </row>
    <row r="21" spans="1:29">
      <c r="T21" s="433" t="s">
        <v>652</v>
      </c>
      <c r="U21" s="433"/>
      <c r="V21" s="433"/>
      <c r="W21" s="433"/>
      <c r="X21" s="434" t="s">
        <v>544</v>
      </c>
      <c r="Y21" s="434"/>
      <c r="Z21" s="434"/>
      <c r="AA21" s="434"/>
      <c r="AB21" t="s">
        <v>545</v>
      </c>
      <c r="AC21" t="s">
        <v>653</v>
      </c>
    </row>
    <row r="22" spans="1:29" s="410" customFormat="1" ht="18.75">
      <c r="C22" s="410" t="s">
        <v>624</v>
      </c>
      <c r="P22" s="410" t="s">
        <v>625</v>
      </c>
    </row>
    <row r="23" spans="1:29" ht="52.5" customHeight="1">
      <c r="C23" s="208" t="s">
        <v>626</v>
      </c>
      <c r="D23" s="208" t="s">
        <v>627</v>
      </c>
      <c r="E23" s="176"/>
      <c r="F23" s="176"/>
      <c r="G23" s="176"/>
      <c r="H23" s="176"/>
      <c r="I23" s="208" t="s">
        <v>628</v>
      </c>
      <c r="J23" s="208" t="s">
        <v>100</v>
      </c>
      <c r="K23" s="176"/>
      <c r="L23" s="176"/>
      <c r="M23" s="176"/>
      <c r="N23" s="176"/>
      <c r="P23" s="432" t="s">
        <v>629</v>
      </c>
      <c r="Q23" s="432"/>
    </row>
    <row r="24" spans="1:29">
      <c r="C24" s="176" t="s">
        <v>630</v>
      </c>
      <c r="D24" s="70" t="s">
        <v>631</v>
      </c>
      <c r="E24" s="70"/>
      <c r="F24" s="70"/>
      <c r="G24" s="70"/>
      <c r="H24" s="70"/>
      <c r="I24" s="176">
        <v>10227</v>
      </c>
      <c r="J24" s="70" t="s">
        <v>656</v>
      </c>
      <c r="K24" s="70"/>
      <c r="L24" s="70"/>
      <c r="M24" s="70"/>
      <c r="N24" s="70"/>
      <c r="P24" s="176" t="s">
        <v>586</v>
      </c>
      <c r="Q24" s="176">
        <f ca="1">MEDIAN(INDIRECT(P24))</f>
        <v>2180</v>
      </c>
    </row>
    <row r="25" spans="1:29">
      <c r="C25" s="176" t="s">
        <v>632</v>
      </c>
      <c r="D25" s="70" t="s">
        <v>633</v>
      </c>
      <c r="E25" s="70"/>
      <c r="F25" s="70"/>
      <c r="G25" s="70"/>
      <c r="H25" s="70"/>
      <c r="I25" s="176">
        <v>47268</v>
      </c>
      <c r="J25" s="70" t="s">
        <v>658</v>
      </c>
      <c r="K25" s="70"/>
      <c r="L25" s="70"/>
      <c r="M25" s="70"/>
      <c r="N25" s="70"/>
      <c r="P25" s="176" t="s">
        <v>582</v>
      </c>
      <c r="Q25" s="176">
        <f t="shared" ref="Q25:Q27" ca="1" si="8">MEDIAN(INDIRECT(P25))</f>
        <v>13143</v>
      </c>
    </row>
    <row r="26" spans="1:29">
      <c r="C26" s="176" t="s">
        <v>634</v>
      </c>
      <c r="D26" s="70" t="s">
        <v>635</v>
      </c>
      <c r="E26" s="70"/>
      <c r="F26" s="70"/>
      <c r="G26" s="70"/>
      <c r="H26" s="70"/>
      <c r="I26" s="176">
        <v>61</v>
      </c>
      <c r="J26" s="70" t="s">
        <v>655</v>
      </c>
      <c r="K26" s="70"/>
      <c r="L26" s="70"/>
      <c r="M26" s="70"/>
      <c r="N26" s="70"/>
      <c r="P26" s="176" t="s">
        <v>590</v>
      </c>
      <c r="Q26" s="176">
        <f t="shared" ca="1" si="8"/>
        <v>15</v>
      </c>
    </row>
    <row r="27" spans="1:29">
      <c r="C27" s="176" t="s">
        <v>636</v>
      </c>
      <c r="D27" s="70" t="s">
        <v>637</v>
      </c>
      <c r="E27" s="70"/>
      <c r="F27" s="70"/>
      <c r="G27" s="70"/>
      <c r="H27" s="70"/>
      <c r="I27" s="176">
        <v>0.100422</v>
      </c>
      <c r="J27" s="70" t="s">
        <v>657</v>
      </c>
      <c r="K27" s="70"/>
      <c r="L27" s="70"/>
      <c r="M27" s="70"/>
      <c r="N27" s="70"/>
      <c r="P27" s="176" t="s">
        <v>596</v>
      </c>
      <c r="Q27" s="176">
        <f t="shared" ca="1" si="8"/>
        <v>8.4459499999999993E-2</v>
      </c>
    </row>
    <row r="28" spans="1:29">
      <c r="C28" s="176" t="s">
        <v>638</v>
      </c>
      <c r="D28" s="78" t="s">
        <v>639</v>
      </c>
      <c r="E28" s="78"/>
      <c r="F28" s="78"/>
      <c r="G28" s="176"/>
      <c r="H28" s="176"/>
      <c r="I28" s="176">
        <v>0.19018484769591251</v>
      </c>
      <c r="J28" s="78" t="s">
        <v>640</v>
      </c>
      <c r="K28" s="78"/>
      <c r="L28" s="78"/>
      <c r="M28" s="78"/>
      <c r="N28" s="78"/>
    </row>
    <row r="29" spans="1:29">
      <c r="C29" s="176" t="s">
        <v>641</v>
      </c>
      <c r="D29" s="78" t="s">
        <v>639</v>
      </c>
      <c r="E29" s="78"/>
      <c r="F29" s="78"/>
      <c r="G29" s="176"/>
      <c r="H29" s="176"/>
      <c r="I29" s="176">
        <v>0.19495737318160633</v>
      </c>
      <c r="J29" s="78" t="s">
        <v>642</v>
      </c>
      <c r="K29" s="78"/>
      <c r="L29" s="78"/>
      <c r="M29" s="78"/>
      <c r="N29" s="78"/>
    </row>
    <row r="30" spans="1:29">
      <c r="C30" s="176" t="s">
        <v>643</v>
      </c>
      <c r="D30" s="78" t="s">
        <v>639</v>
      </c>
      <c r="E30" s="78"/>
      <c r="F30" s="78"/>
      <c r="G30" s="176"/>
      <c r="H30" s="176"/>
      <c r="I30" s="176">
        <v>0.16353887399463807</v>
      </c>
      <c r="J30" s="78" t="s">
        <v>650</v>
      </c>
      <c r="K30" s="78"/>
      <c r="L30" s="78"/>
      <c r="M30" s="78"/>
      <c r="N30" s="78"/>
    </row>
    <row r="31" spans="1:29">
      <c r="C31" s="176" t="s">
        <v>644</v>
      </c>
      <c r="D31" s="78" t="s">
        <v>639</v>
      </c>
      <c r="E31" s="78"/>
      <c r="F31" s="78"/>
      <c r="G31" s="176"/>
      <c r="H31" s="176"/>
      <c r="I31" s="176">
        <v>8.5910217825373558E-2</v>
      </c>
      <c r="J31" s="78" t="s">
        <v>651</v>
      </c>
      <c r="K31" s="78"/>
      <c r="L31" s="78"/>
      <c r="M31" s="78"/>
      <c r="N31" s="78"/>
    </row>
    <row r="32" spans="1:29">
      <c r="C32" s="176" t="s">
        <v>645</v>
      </c>
      <c r="D32" s="176" t="s">
        <v>646</v>
      </c>
      <c r="E32" s="176"/>
      <c r="F32" s="176"/>
      <c r="G32" s="176"/>
      <c r="H32" s="176"/>
      <c r="I32" s="176">
        <v>0.15864782817438261</v>
      </c>
      <c r="J32" s="176"/>
      <c r="K32" s="176"/>
      <c r="L32" s="176"/>
      <c r="M32" s="176"/>
      <c r="N32" s="176"/>
    </row>
    <row r="33" spans="3:14">
      <c r="C33" s="176" t="s">
        <v>647</v>
      </c>
      <c r="D33" s="176" t="s">
        <v>648</v>
      </c>
      <c r="E33" s="176"/>
      <c r="F33" s="176"/>
      <c r="G33" s="176"/>
      <c r="H33" s="176"/>
      <c r="I33" s="176">
        <v>16</v>
      </c>
      <c r="J33" s="176" t="s">
        <v>654</v>
      </c>
      <c r="K33" s="176"/>
      <c r="L33" s="176"/>
      <c r="M33" s="176"/>
      <c r="N33" s="176"/>
    </row>
  </sheetData>
  <mergeCells count="6">
    <mergeCell ref="F20:N20"/>
    <mergeCell ref="P20:S20"/>
    <mergeCell ref="T20:AC20"/>
    <mergeCell ref="P23:Q23"/>
    <mergeCell ref="T21:W21"/>
    <mergeCell ref="X21:AA21"/>
  </mergeCells>
  <conditionalFormatting sqref="F2:AB17">
    <cfRule type="cellIs" dxfId="2" priority="3" operator="equal">
      <formula>0</formula>
    </cfRule>
  </conditionalFormatting>
  <conditionalFormatting sqref="T2:T17">
    <cfRule type="expression" dxfId="1" priority="2">
      <formula>ISBLANK(P2)=TRUE</formula>
    </cfRule>
  </conditionalFormatting>
  <conditionalFormatting sqref="T2:W17">
    <cfRule type="expression" dxfId="0" priority="1">
      <formula>ISBLANK(P2)=TRUE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7"/>
  <dimension ref="A1:E67"/>
  <sheetViews>
    <sheetView workbookViewId="0"/>
  </sheetViews>
  <sheetFormatPr defaultRowHeight="15"/>
  <cols>
    <col min="1" max="1" width="35.5703125" style="369" bestFit="1" customWidth="1"/>
    <col min="2" max="2" width="47.7109375" style="372" customWidth="1"/>
    <col min="3" max="3" width="9.7109375" style="369" customWidth="1"/>
    <col min="4" max="4" width="12.140625" style="369" customWidth="1"/>
    <col min="5" max="5" width="8" style="369" customWidth="1"/>
    <col min="6" max="16384" width="9.140625" style="369"/>
  </cols>
  <sheetData>
    <row r="1" spans="1:5">
      <c r="A1" s="370" t="s">
        <v>441</v>
      </c>
      <c r="B1" s="371" t="s">
        <v>442</v>
      </c>
      <c r="C1" s="370" t="s">
        <v>443</v>
      </c>
      <c r="D1" s="370" t="s">
        <v>444</v>
      </c>
      <c r="E1" s="370" t="s">
        <v>445</v>
      </c>
    </row>
    <row r="2" spans="1:5">
      <c r="A2" s="369" t="s">
        <v>558</v>
      </c>
      <c r="B2" s="372" t="s">
        <v>559</v>
      </c>
      <c r="C2" s="369" t="b">
        <v>1</v>
      </c>
      <c r="D2" s="369" t="b">
        <v>0</v>
      </c>
      <c r="E2" s="373">
        <v>3</v>
      </c>
    </row>
    <row r="3" spans="1:5">
      <c r="A3" s="369" t="s">
        <v>560</v>
      </c>
      <c r="B3" s="372" t="s">
        <v>561</v>
      </c>
      <c r="C3" s="369" t="b">
        <v>1</v>
      </c>
      <c r="D3" s="369" t="b">
        <v>0</v>
      </c>
      <c r="E3" s="373">
        <v>3</v>
      </c>
    </row>
    <row r="4" spans="1:5">
      <c r="A4" s="369" t="s">
        <v>562</v>
      </c>
      <c r="B4" s="372" t="s">
        <v>563</v>
      </c>
      <c r="C4" s="369" t="b">
        <v>1</v>
      </c>
      <c r="D4" s="369" t="b">
        <v>0</v>
      </c>
      <c r="E4" s="373">
        <v>1</v>
      </c>
    </row>
    <row r="5" spans="1:5">
      <c r="A5" s="369" t="s">
        <v>564</v>
      </c>
      <c r="B5" s="372" t="s">
        <v>565</v>
      </c>
      <c r="C5" s="369" t="b">
        <v>1</v>
      </c>
      <c r="D5" s="369" t="b">
        <v>0</v>
      </c>
      <c r="E5" s="373">
        <v>1</v>
      </c>
    </row>
    <row r="6" spans="1:5">
      <c r="A6" s="369" t="s">
        <v>494</v>
      </c>
      <c r="B6" s="372" t="s">
        <v>495</v>
      </c>
      <c r="C6" s="369" t="b">
        <v>1</v>
      </c>
      <c r="D6" s="369" t="b">
        <v>1</v>
      </c>
      <c r="E6" s="373">
        <v>18</v>
      </c>
    </row>
    <row r="7" spans="1:5">
      <c r="A7" s="369" t="s">
        <v>502</v>
      </c>
      <c r="B7" s="372" t="s">
        <v>503</v>
      </c>
      <c r="C7" s="369" t="b">
        <v>1</v>
      </c>
      <c r="D7" s="369" t="b">
        <v>1</v>
      </c>
      <c r="E7" s="373">
        <v>18</v>
      </c>
    </row>
    <row r="8" spans="1:5">
      <c r="A8" s="369" t="s">
        <v>512</v>
      </c>
      <c r="B8" s="372" t="s">
        <v>513</v>
      </c>
      <c r="C8" s="369" t="b">
        <v>1</v>
      </c>
      <c r="D8" s="369" t="b">
        <v>0</v>
      </c>
      <c r="E8" s="373">
        <v>16</v>
      </c>
    </row>
    <row r="9" spans="1:5">
      <c r="A9" s="369" t="s">
        <v>498</v>
      </c>
      <c r="B9" s="372" t="s">
        <v>499</v>
      </c>
      <c r="C9" s="369" t="b">
        <v>1</v>
      </c>
      <c r="D9" s="369" t="b">
        <v>1</v>
      </c>
      <c r="E9" s="373">
        <v>16</v>
      </c>
    </row>
    <row r="10" spans="1:5">
      <c r="A10" s="369" t="s">
        <v>177</v>
      </c>
      <c r="B10" s="372" t="s">
        <v>470</v>
      </c>
      <c r="C10" s="369" t="b">
        <v>1</v>
      </c>
      <c r="D10" s="369" t="b">
        <v>0</v>
      </c>
      <c r="E10" s="373">
        <v>16</v>
      </c>
    </row>
    <row r="11" spans="1:5">
      <c r="A11" s="369" t="s">
        <v>459</v>
      </c>
      <c r="B11" s="372" t="s">
        <v>460</v>
      </c>
      <c r="C11" s="369" t="b">
        <v>1</v>
      </c>
      <c r="D11" s="369" t="b">
        <v>0</v>
      </c>
      <c r="E11" s="373">
        <v>16</v>
      </c>
    </row>
    <row r="12" spans="1:5">
      <c r="A12" s="369" t="s">
        <v>481</v>
      </c>
      <c r="B12" s="372" t="s">
        <v>482</v>
      </c>
      <c r="C12" s="369" t="b">
        <v>1</v>
      </c>
      <c r="D12" s="369" t="b">
        <v>0</v>
      </c>
      <c r="E12" s="373">
        <v>16</v>
      </c>
    </row>
    <row r="13" spans="1:5">
      <c r="A13" s="369" t="s">
        <v>461</v>
      </c>
      <c r="B13" s="372" t="s">
        <v>462</v>
      </c>
      <c r="C13" s="369" t="b">
        <v>1</v>
      </c>
      <c r="D13" s="369" t="b">
        <v>0</v>
      </c>
      <c r="E13" s="373">
        <v>16</v>
      </c>
    </row>
    <row r="14" spans="1:5">
      <c r="A14" s="369" t="s">
        <v>510</v>
      </c>
      <c r="B14" s="372" t="s">
        <v>511</v>
      </c>
      <c r="C14" s="369" t="b">
        <v>1</v>
      </c>
      <c r="D14" s="369" t="b">
        <v>1</v>
      </c>
      <c r="E14" s="373">
        <v>16</v>
      </c>
    </row>
    <row r="15" spans="1:5">
      <c r="A15" s="369" t="s">
        <v>468</v>
      </c>
      <c r="B15" s="372" t="s">
        <v>469</v>
      </c>
      <c r="C15" s="369" t="b">
        <v>1</v>
      </c>
      <c r="D15" s="369" t="b">
        <v>1</v>
      </c>
      <c r="E15" s="373">
        <v>16</v>
      </c>
    </row>
    <row r="16" spans="1:5">
      <c r="A16" s="369" t="s">
        <v>457</v>
      </c>
      <c r="B16" s="372" t="s">
        <v>458</v>
      </c>
      <c r="C16" s="369" t="b">
        <v>1</v>
      </c>
      <c r="D16" s="369" t="b">
        <v>1</v>
      </c>
      <c r="E16" s="373">
        <v>16</v>
      </c>
    </row>
    <row r="17" spans="1:5">
      <c r="A17" s="369" t="s">
        <v>479</v>
      </c>
      <c r="B17" s="372" t="s">
        <v>480</v>
      </c>
      <c r="C17" s="369" t="b">
        <v>1</v>
      </c>
      <c r="D17" s="369" t="b">
        <v>1</v>
      </c>
      <c r="E17" s="373">
        <v>16</v>
      </c>
    </row>
    <row r="18" spans="1:5">
      <c r="A18" s="369" t="s">
        <v>588</v>
      </c>
      <c r="B18" s="372" t="s">
        <v>589</v>
      </c>
      <c r="C18" s="369" t="b">
        <v>1</v>
      </c>
      <c r="D18" s="369" t="b">
        <v>0</v>
      </c>
      <c r="E18" s="373">
        <v>16</v>
      </c>
    </row>
    <row r="19" spans="1:5">
      <c r="A19" s="369" t="s">
        <v>584</v>
      </c>
      <c r="B19" s="372" t="s">
        <v>585</v>
      </c>
      <c r="C19" s="369" t="b">
        <v>1</v>
      </c>
      <c r="D19" s="369" t="b">
        <v>0</v>
      </c>
      <c r="E19" s="373">
        <v>16</v>
      </c>
    </row>
    <row r="20" spans="1:5">
      <c r="A20" s="369" t="s">
        <v>592</v>
      </c>
      <c r="B20" s="372" t="s">
        <v>593</v>
      </c>
      <c r="C20" s="369" t="b">
        <v>1</v>
      </c>
      <c r="D20" s="369" t="b">
        <v>0</v>
      </c>
      <c r="E20" s="373">
        <v>16</v>
      </c>
    </row>
    <row r="21" spans="1:5">
      <c r="A21" s="369" t="s">
        <v>594</v>
      </c>
      <c r="B21" s="372" t="s">
        <v>595</v>
      </c>
      <c r="C21" s="369" t="b">
        <v>1</v>
      </c>
      <c r="D21" s="369" t="b">
        <v>0</v>
      </c>
      <c r="E21" s="373">
        <v>16</v>
      </c>
    </row>
    <row r="22" spans="1:5">
      <c r="A22" s="369" t="s">
        <v>586</v>
      </c>
      <c r="B22" s="372" t="s">
        <v>587</v>
      </c>
      <c r="C22" s="369" t="b">
        <v>1</v>
      </c>
      <c r="D22" s="369" t="b">
        <v>0</v>
      </c>
      <c r="E22" s="373">
        <v>16</v>
      </c>
    </row>
    <row r="23" spans="1:5">
      <c r="A23" s="369" t="s">
        <v>582</v>
      </c>
      <c r="B23" s="372" t="s">
        <v>583</v>
      </c>
      <c r="C23" s="369" t="b">
        <v>1</v>
      </c>
      <c r="D23" s="369" t="b">
        <v>0</v>
      </c>
      <c r="E23" s="373">
        <v>16</v>
      </c>
    </row>
    <row r="24" spans="1:5">
      <c r="A24" s="369" t="s">
        <v>590</v>
      </c>
      <c r="B24" s="372" t="s">
        <v>591</v>
      </c>
      <c r="C24" s="369" t="b">
        <v>1</v>
      </c>
      <c r="D24" s="369" t="b">
        <v>0</v>
      </c>
      <c r="E24" s="373">
        <v>16</v>
      </c>
    </row>
    <row r="25" spans="1:5">
      <c r="A25" s="369" t="s">
        <v>596</v>
      </c>
      <c r="B25" s="372" t="s">
        <v>597</v>
      </c>
      <c r="C25" s="369" t="b">
        <v>1</v>
      </c>
      <c r="D25" s="369" t="b">
        <v>0</v>
      </c>
      <c r="E25" s="373">
        <v>16</v>
      </c>
    </row>
    <row r="26" spans="1:5">
      <c r="A26" s="369" t="s">
        <v>580</v>
      </c>
      <c r="B26" s="372" t="s">
        <v>581</v>
      </c>
      <c r="C26" s="369" t="b">
        <v>1</v>
      </c>
      <c r="D26" s="369" t="b">
        <v>0</v>
      </c>
      <c r="E26" s="373">
        <v>16</v>
      </c>
    </row>
    <row r="27" spans="1:5">
      <c r="A27" s="369" t="s">
        <v>157</v>
      </c>
      <c r="B27" s="372" t="s">
        <v>484</v>
      </c>
      <c r="C27" s="369" t="b">
        <v>1</v>
      </c>
      <c r="D27" s="369" t="b">
        <v>0</v>
      </c>
      <c r="E27" s="373">
        <v>1</v>
      </c>
    </row>
    <row r="28" spans="1:5">
      <c r="A28" s="369" t="s">
        <v>158</v>
      </c>
      <c r="B28" s="372" t="s">
        <v>516</v>
      </c>
      <c r="C28" s="369" t="b">
        <v>1</v>
      </c>
      <c r="D28" s="369" t="b">
        <v>0</v>
      </c>
      <c r="E28" s="373">
        <v>1</v>
      </c>
    </row>
    <row r="29" spans="1:5">
      <c r="A29" s="369" t="s">
        <v>463</v>
      </c>
      <c r="B29" s="372" t="s">
        <v>464</v>
      </c>
      <c r="C29" s="369" t="b">
        <v>1</v>
      </c>
      <c r="D29" s="369" t="b">
        <v>0</v>
      </c>
      <c r="E29" s="373">
        <v>456</v>
      </c>
    </row>
    <row r="30" spans="1:5">
      <c r="A30" s="369" t="s">
        <v>449</v>
      </c>
      <c r="B30" s="372" t="s">
        <v>450</v>
      </c>
      <c r="C30" s="369" t="b">
        <v>1</v>
      </c>
      <c r="D30" s="369" t="b">
        <v>1</v>
      </c>
      <c r="E30" s="373">
        <v>18</v>
      </c>
    </row>
    <row r="31" spans="1:5">
      <c r="A31" s="369" t="s">
        <v>119</v>
      </c>
      <c r="B31" s="372" t="s">
        <v>471</v>
      </c>
      <c r="C31" s="369" t="b">
        <v>1</v>
      </c>
      <c r="D31" s="369" t="b">
        <v>0</v>
      </c>
      <c r="E31" s="373">
        <v>1</v>
      </c>
    </row>
    <row r="32" spans="1:5">
      <c r="A32" s="369" t="s">
        <v>122</v>
      </c>
      <c r="B32" s="372" t="s">
        <v>519</v>
      </c>
      <c r="C32" s="369" t="b">
        <v>1</v>
      </c>
      <c r="D32" s="369" t="b">
        <v>0</v>
      </c>
      <c r="E32" s="373">
        <v>4</v>
      </c>
    </row>
    <row r="33" spans="1:5">
      <c r="A33" s="369" t="s">
        <v>120</v>
      </c>
      <c r="B33" s="372" t="s">
        <v>456</v>
      </c>
      <c r="C33" s="369" t="b">
        <v>1</v>
      </c>
      <c r="D33" s="369" t="b">
        <v>0</v>
      </c>
      <c r="E33" s="373">
        <v>1</v>
      </c>
    </row>
    <row r="34" spans="1:5">
      <c r="A34" s="369" t="s">
        <v>121</v>
      </c>
      <c r="B34" s="372" t="s">
        <v>483</v>
      </c>
      <c r="C34" s="369" t="b">
        <v>1</v>
      </c>
      <c r="D34" s="369" t="b">
        <v>0</v>
      </c>
      <c r="E34" s="373">
        <v>1</v>
      </c>
    </row>
    <row r="35" spans="1:5">
      <c r="A35" s="369" t="s">
        <v>514</v>
      </c>
      <c r="B35" s="372" t="s">
        <v>515</v>
      </c>
      <c r="C35" s="369" t="b">
        <v>1</v>
      </c>
      <c r="D35" s="369" t="b">
        <v>1</v>
      </c>
      <c r="E35" s="373">
        <v>1</v>
      </c>
    </row>
    <row r="36" spans="1:5">
      <c r="A36" s="369" t="s">
        <v>453</v>
      </c>
      <c r="B36" s="372" t="s">
        <v>454</v>
      </c>
      <c r="C36" s="369" t="b">
        <v>1</v>
      </c>
      <c r="D36" s="369" t="b">
        <v>1</v>
      </c>
      <c r="E36" s="373">
        <v>16</v>
      </c>
    </row>
    <row r="37" spans="1:5">
      <c r="A37" s="369" t="s">
        <v>500</v>
      </c>
      <c r="B37" s="372" t="s">
        <v>501</v>
      </c>
      <c r="C37" s="369" t="b">
        <v>1</v>
      </c>
      <c r="D37" s="369" t="b">
        <v>1</v>
      </c>
      <c r="E37" s="373">
        <v>16</v>
      </c>
    </row>
    <row r="38" spans="1:5">
      <c r="A38" s="369" t="s">
        <v>451</v>
      </c>
      <c r="B38" s="372" t="s">
        <v>452</v>
      </c>
      <c r="C38" s="369" t="b">
        <v>1</v>
      </c>
      <c r="D38" s="369" t="b">
        <v>0</v>
      </c>
      <c r="E38" s="373">
        <v>18</v>
      </c>
    </row>
    <row r="39" spans="1:5">
      <c r="A39" s="369" t="s">
        <v>409</v>
      </c>
      <c r="B39" s="372" t="s">
        <v>455</v>
      </c>
      <c r="C39" s="369" t="b">
        <v>1</v>
      </c>
      <c r="D39" s="369" t="b">
        <v>0</v>
      </c>
      <c r="E39" s="373">
        <v>147</v>
      </c>
    </row>
    <row r="40" spans="1:5">
      <c r="A40" s="369" t="s">
        <v>231</v>
      </c>
      <c r="B40" s="372" t="s">
        <v>467</v>
      </c>
      <c r="C40" s="369" t="b">
        <v>1</v>
      </c>
      <c r="D40" s="369" t="b">
        <v>0</v>
      </c>
      <c r="E40" s="373">
        <v>147</v>
      </c>
    </row>
    <row r="41" spans="1:5">
      <c r="A41" s="369" t="s">
        <v>232</v>
      </c>
      <c r="B41" s="372" t="s">
        <v>473</v>
      </c>
      <c r="C41" s="369" t="b">
        <v>1</v>
      </c>
      <c r="D41" s="369" t="b">
        <v>0</v>
      </c>
      <c r="E41" s="373">
        <v>147</v>
      </c>
    </row>
    <row r="42" spans="1:5">
      <c r="A42" s="369" t="s">
        <v>242</v>
      </c>
      <c r="B42" s="372" t="s">
        <v>518</v>
      </c>
      <c r="C42" s="369" t="b">
        <v>1</v>
      </c>
      <c r="D42" s="369" t="b">
        <v>0</v>
      </c>
      <c r="E42" s="373">
        <v>147</v>
      </c>
    </row>
    <row r="43" spans="1:5">
      <c r="A43" s="369" t="s">
        <v>233</v>
      </c>
      <c r="B43" s="372" t="s">
        <v>488</v>
      </c>
      <c r="C43" s="369" t="b">
        <v>1</v>
      </c>
      <c r="D43" s="369" t="b">
        <v>0</v>
      </c>
      <c r="E43" s="373">
        <v>147</v>
      </c>
    </row>
    <row r="44" spans="1:5">
      <c r="A44" s="369" t="s">
        <v>234</v>
      </c>
      <c r="B44" s="372" t="s">
        <v>472</v>
      </c>
      <c r="C44" s="369" t="b">
        <v>1</v>
      </c>
      <c r="D44" s="369" t="b">
        <v>0</v>
      </c>
      <c r="E44" s="373">
        <v>147</v>
      </c>
    </row>
    <row r="45" spans="1:5">
      <c r="A45" s="369" t="s">
        <v>235</v>
      </c>
      <c r="B45" s="372" t="s">
        <v>487</v>
      </c>
      <c r="C45" s="369" t="b">
        <v>1</v>
      </c>
      <c r="D45" s="369" t="b">
        <v>0</v>
      </c>
      <c r="E45" s="373">
        <v>147</v>
      </c>
    </row>
    <row r="46" spans="1:5">
      <c r="A46" s="369" t="s">
        <v>243</v>
      </c>
      <c r="B46" s="372" t="s">
        <v>448</v>
      </c>
      <c r="C46" s="369" t="b">
        <v>1</v>
      </c>
      <c r="D46" s="369" t="b">
        <v>0</v>
      </c>
      <c r="E46" s="373">
        <v>147</v>
      </c>
    </row>
    <row r="47" spans="1:5">
      <c r="A47" s="369" t="s">
        <v>236</v>
      </c>
      <c r="B47" s="372" t="s">
        <v>505</v>
      </c>
      <c r="C47" s="369" t="b">
        <v>1</v>
      </c>
      <c r="D47" s="369" t="b">
        <v>0</v>
      </c>
      <c r="E47" s="373">
        <v>147</v>
      </c>
    </row>
    <row r="48" spans="1:5">
      <c r="A48" s="369" t="s">
        <v>237</v>
      </c>
      <c r="B48" s="372" t="s">
        <v>486</v>
      </c>
      <c r="C48" s="369" t="b">
        <v>1</v>
      </c>
      <c r="D48" s="369" t="b">
        <v>0</v>
      </c>
      <c r="E48" s="373">
        <v>147</v>
      </c>
    </row>
    <row r="49" spans="1:5">
      <c r="A49" s="369" t="s">
        <v>238</v>
      </c>
      <c r="B49" s="372" t="s">
        <v>490</v>
      </c>
      <c r="C49" s="369" t="b">
        <v>1</v>
      </c>
      <c r="D49" s="369" t="b">
        <v>0</v>
      </c>
      <c r="E49" s="373">
        <v>147</v>
      </c>
    </row>
    <row r="50" spans="1:5">
      <c r="A50" s="369" t="s">
        <v>410</v>
      </c>
      <c r="B50" s="372" t="s">
        <v>478</v>
      </c>
      <c r="C50" s="369" t="b">
        <v>1</v>
      </c>
      <c r="D50" s="369" t="b">
        <v>0</v>
      </c>
      <c r="E50" s="373">
        <v>147</v>
      </c>
    </row>
    <row r="51" spans="1:5">
      <c r="A51" s="369" t="s">
        <v>416</v>
      </c>
      <c r="B51" s="372" t="s">
        <v>517</v>
      </c>
      <c r="C51" s="369" t="b">
        <v>1</v>
      </c>
      <c r="D51" s="369" t="b">
        <v>0</v>
      </c>
      <c r="E51" s="373">
        <v>147</v>
      </c>
    </row>
    <row r="52" spans="1:5">
      <c r="A52" s="369" t="s">
        <v>239</v>
      </c>
      <c r="B52" s="372" t="s">
        <v>474</v>
      </c>
      <c r="C52" s="369" t="b">
        <v>1</v>
      </c>
      <c r="D52" s="369" t="b">
        <v>0</v>
      </c>
      <c r="E52" s="373">
        <v>147</v>
      </c>
    </row>
    <row r="53" spans="1:5">
      <c r="A53" s="369" t="s">
        <v>506</v>
      </c>
      <c r="B53" s="372" t="s">
        <v>507</v>
      </c>
      <c r="C53" s="369" t="b">
        <v>1</v>
      </c>
      <c r="D53" s="369" t="b">
        <v>0</v>
      </c>
      <c r="E53" s="373">
        <v>147</v>
      </c>
    </row>
    <row r="54" spans="1:5">
      <c r="A54" s="369" t="s">
        <v>418</v>
      </c>
      <c r="B54" s="372" t="s">
        <v>509</v>
      </c>
      <c r="C54" s="369" t="b">
        <v>1</v>
      </c>
      <c r="D54" s="369" t="b">
        <v>0</v>
      </c>
      <c r="E54" s="373">
        <v>147</v>
      </c>
    </row>
    <row r="55" spans="1:5">
      <c r="A55" s="369" t="s">
        <v>419</v>
      </c>
      <c r="B55" s="372" t="s">
        <v>508</v>
      </c>
      <c r="C55" s="369" t="b">
        <v>1</v>
      </c>
      <c r="D55" s="369" t="b">
        <v>0</v>
      </c>
      <c r="E55" s="373">
        <v>147</v>
      </c>
    </row>
    <row r="56" spans="1:5">
      <c r="A56" s="369" t="s">
        <v>420</v>
      </c>
      <c r="B56" s="372" t="s">
        <v>497</v>
      </c>
      <c r="C56" s="369" t="b">
        <v>1</v>
      </c>
      <c r="D56" s="369" t="b">
        <v>0</v>
      </c>
      <c r="E56" s="373">
        <v>147</v>
      </c>
    </row>
    <row r="57" spans="1:5">
      <c r="A57" s="369" t="s">
        <v>421</v>
      </c>
      <c r="B57" s="372" t="s">
        <v>504</v>
      </c>
      <c r="C57" s="369" t="b">
        <v>1</v>
      </c>
      <c r="D57" s="369" t="b">
        <v>0</v>
      </c>
      <c r="E57" s="373">
        <v>147</v>
      </c>
    </row>
    <row r="58" spans="1:5">
      <c r="A58" s="369" t="s">
        <v>411</v>
      </c>
      <c r="B58" s="372" t="s">
        <v>492</v>
      </c>
      <c r="C58" s="369" t="b">
        <v>1</v>
      </c>
      <c r="D58" s="369" t="b">
        <v>0</v>
      </c>
      <c r="E58" s="373">
        <v>147</v>
      </c>
    </row>
    <row r="59" spans="1:5">
      <c r="A59" s="369" t="s">
        <v>412</v>
      </c>
      <c r="B59" s="372" t="s">
        <v>493</v>
      </c>
      <c r="C59" s="369" t="b">
        <v>1</v>
      </c>
      <c r="D59" s="369" t="b">
        <v>0</v>
      </c>
      <c r="E59" s="373">
        <v>147</v>
      </c>
    </row>
    <row r="60" spans="1:5">
      <c r="A60" s="369" t="s">
        <v>227</v>
      </c>
      <c r="B60" s="372" t="s">
        <v>491</v>
      </c>
      <c r="C60" s="369" t="b">
        <v>1</v>
      </c>
      <c r="D60" s="369" t="b">
        <v>0</v>
      </c>
      <c r="E60" s="373">
        <v>147</v>
      </c>
    </row>
    <row r="61" spans="1:5">
      <c r="A61" s="369" t="s">
        <v>228</v>
      </c>
      <c r="B61" s="372" t="s">
        <v>485</v>
      </c>
      <c r="C61" s="369" t="b">
        <v>1</v>
      </c>
      <c r="D61" s="369" t="b">
        <v>0</v>
      </c>
      <c r="E61" s="373">
        <v>147</v>
      </c>
    </row>
    <row r="62" spans="1:5">
      <c r="A62" s="369" t="s">
        <v>241</v>
      </c>
      <c r="B62" s="372" t="s">
        <v>477</v>
      </c>
      <c r="C62" s="369" t="b">
        <v>1</v>
      </c>
      <c r="D62" s="369" t="b">
        <v>0</v>
      </c>
      <c r="E62" s="373">
        <v>147</v>
      </c>
    </row>
    <row r="63" spans="1:5">
      <c r="A63" s="369" t="s">
        <v>229</v>
      </c>
      <c r="B63" s="372" t="s">
        <v>496</v>
      </c>
      <c r="C63" s="369" t="b">
        <v>1</v>
      </c>
      <c r="D63" s="369" t="b">
        <v>0</v>
      </c>
      <c r="E63" s="373">
        <v>147</v>
      </c>
    </row>
    <row r="64" spans="1:5">
      <c r="A64" s="369" t="s">
        <v>230</v>
      </c>
      <c r="B64" s="372" t="s">
        <v>489</v>
      </c>
      <c r="C64" s="369" t="b">
        <v>1</v>
      </c>
      <c r="D64" s="369" t="b">
        <v>0</v>
      </c>
      <c r="E64" s="373">
        <v>147</v>
      </c>
    </row>
    <row r="65" spans="1:5">
      <c r="A65" s="369" t="s">
        <v>446</v>
      </c>
      <c r="B65" s="372" t="s">
        <v>447</v>
      </c>
      <c r="C65" s="369" t="b">
        <v>0</v>
      </c>
      <c r="D65" s="369" t="b">
        <v>1</v>
      </c>
      <c r="E65" s="373">
        <v>3996</v>
      </c>
    </row>
    <row r="66" spans="1:5">
      <c r="A66" s="369" t="s">
        <v>465</v>
      </c>
      <c r="B66" s="372" t="s">
        <v>466</v>
      </c>
      <c r="C66" s="369" t="b">
        <v>1</v>
      </c>
      <c r="D66" s="369" t="b">
        <v>0</v>
      </c>
      <c r="E66" s="373">
        <v>3969</v>
      </c>
    </row>
    <row r="67" spans="1:5">
      <c r="A67" s="369" t="s">
        <v>475</v>
      </c>
      <c r="B67" s="372" t="s">
        <v>476</v>
      </c>
      <c r="C67" s="369" t="b">
        <v>1</v>
      </c>
      <c r="D67" s="369" t="b">
        <v>1</v>
      </c>
      <c r="E67" s="373">
        <v>4116</v>
      </c>
    </row>
  </sheetData>
  <autoFilter ref="A1:E54">
    <sortState ref="A2:E54">
      <sortCondition ref="B1"/>
    </sortState>
  </autoFilter>
  <sortState ref="A2:E67">
    <sortCondition ref="B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M32"/>
  <sheetViews>
    <sheetView workbookViewId="0">
      <selection activeCell="A2" sqref="A2"/>
    </sheetView>
  </sheetViews>
  <sheetFormatPr defaultRowHeight="15"/>
  <cols>
    <col min="1" max="11" width="12.7109375" customWidth="1"/>
  </cols>
  <sheetData>
    <row r="1" spans="1:11" ht="23.25">
      <c r="A1" s="390" t="s">
        <v>557</v>
      </c>
      <c r="B1" s="78"/>
      <c r="C1" s="78"/>
      <c r="D1" s="78"/>
      <c r="E1" s="78"/>
      <c r="F1" s="78"/>
      <c r="G1" s="78"/>
      <c r="H1" s="78"/>
      <c r="I1" s="78"/>
      <c r="J1" s="78"/>
      <c r="K1" s="78"/>
    </row>
    <row r="5" spans="1:11" ht="18.75">
      <c r="A5" s="387" t="s">
        <v>547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</row>
    <row r="6" spans="1:11" s="383" customFormat="1" ht="21.75" customHeight="1">
      <c r="A6" s="388"/>
      <c r="B6" s="384" t="s">
        <v>544</v>
      </c>
      <c r="C6" s="384"/>
      <c r="D6" s="385" t="s">
        <v>546</v>
      </c>
      <c r="E6" s="385"/>
      <c r="F6" s="384" t="s">
        <v>544</v>
      </c>
      <c r="G6" s="384"/>
      <c r="H6" s="385" t="s">
        <v>546</v>
      </c>
      <c r="I6" s="385"/>
      <c r="J6" s="386" t="s">
        <v>545</v>
      </c>
      <c r="K6" s="386"/>
    </row>
    <row r="7" spans="1:11" s="97" customFormat="1" ht="38.25" customHeight="1">
      <c r="A7" s="379" t="s">
        <v>543</v>
      </c>
      <c r="B7" s="380" t="s">
        <v>538</v>
      </c>
      <c r="C7" s="380" t="s">
        <v>535</v>
      </c>
      <c r="D7" s="380" t="s">
        <v>536</v>
      </c>
      <c r="E7" s="380" t="s">
        <v>537</v>
      </c>
      <c r="F7" s="381" t="s">
        <v>539</v>
      </c>
      <c r="G7" s="381" t="s">
        <v>540</v>
      </c>
      <c r="H7" s="381" t="s">
        <v>541</v>
      </c>
      <c r="I7" s="381" t="s">
        <v>542</v>
      </c>
      <c r="J7" s="382" t="s">
        <v>129</v>
      </c>
      <c r="K7" s="175" t="s">
        <v>62</v>
      </c>
    </row>
    <row r="8" spans="1:11">
      <c r="A8" s="176" t="s">
        <v>146</v>
      </c>
      <c r="B8" s="374">
        <v>10</v>
      </c>
      <c r="C8" s="374">
        <f>B8/B$12</f>
        <v>0.5</v>
      </c>
      <c r="D8" s="374">
        <v>2</v>
      </c>
      <c r="E8" s="376">
        <f>C8*D8</f>
        <v>1</v>
      </c>
      <c r="F8" s="70">
        <v>8</v>
      </c>
      <c r="G8" s="70">
        <f>F8/F$12</f>
        <v>0.8</v>
      </c>
      <c r="H8" s="70">
        <v>1</v>
      </c>
      <c r="I8" s="377">
        <f>G8*H8</f>
        <v>0.8</v>
      </c>
      <c r="J8" s="375">
        <f>D8+H8</f>
        <v>3</v>
      </c>
      <c r="K8" s="378">
        <f>(E8+I8) / J8</f>
        <v>0.6</v>
      </c>
    </row>
    <row r="9" spans="1:11">
      <c r="A9" s="176" t="s">
        <v>147</v>
      </c>
      <c r="B9" s="374">
        <v>6</v>
      </c>
      <c r="C9" s="374">
        <f t="shared" ref="C9:C10" si="0">B9/B$12</f>
        <v>0.3</v>
      </c>
      <c r="D9" s="374">
        <v>2</v>
      </c>
      <c r="E9" s="376">
        <f t="shared" ref="E9:E10" si="1">C9*D9</f>
        <v>0.6</v>
      </c>
      <c r="F9" s="70">
        <v>1</v>
      </c>
      <c r="G9" s="70">
        <f t="shared" ref="G9:G10" si="2">F9/F$12</f>
        <v>0.1</v>
      </c>
      <c r="H9" s="70">
        <v>1</v>
      </c>
      <c r="I9" s="377">
        <f t="shared" ref="I9:I10" si="3">G9*H9</f>
        <v>0.1</v>
      </c>
      <c r="J9" s="375">
        <f t="shared" ref="J9:J10" si="4">D9+H9</f>
        <v>3</v>
      </c>
      <c r="K9" s="378">
        <f t="shared" ref="K9:K10" si="5">(E9+I9) / J9</f>
        <v>0.23333333333333331</v>
      </c>
    </row>
    <row r="10" spans="1:11">
      <c r="A10" s="176" t="s">
        <v>148</v>
      </c>
      <c r="B10" s="374">
        <v>4</v>
      </c>
      <c r="C10" s="374">
        <f t="shared" si="0"/>
        <v>0.2</v>
      </c>
      <c r="D10" s="374">
        <v>2</v>
      </c>
      <c r="E10" s="376">
        <f t="shared" si="1"/>
        <v>0.4</v>
      </c>
      <c r="F10" s="70">
        <v>1</v>
      </c>
      <c r="G10" s="70">
        <f t="shared" si="2"/>
        <v>0.1</v>
      </c>
      <c r="H10" s="70">
        <v>1</v>
      </c>
      <c r="I10" s="377">
        <f t="shared" si="3"/>
        <v>0.1</v>
      </c>
      <c r="J10" s="375">
        <f t="shared" si="4"/>
        <v>3</v>
      </c>
      <c r="K10" s="378">
        <f t="shared" si="5"/>
        <v>0.16666666666666666</v>
      </c>
    </row>
    <row r="11" spans="1:11">
      <c r="A11" s="77"/>
      <c r="B11" s="374"/>
      <c r="C11" s="374"/>
      <c r="D11" s="374"/>
      <c r="E11" s="374"/>
      <c r="F11" s="70"/>
      <c r="G11" s="70"/>
      <c r="H11" s="70"/>
      <c r="I11" s="70"/>
      <c r="J11" s="77"/>
      <c r="K11" s="77"/>
    </row>
    <row r="12" spans="1:11">
      <c r="A12" s="77" t="s">
        <v>149</v>
      </c>
      <c r="B12" s="374">
        <f>SUM(B8:B11)</f>
        <v>20</v>
      </c>
      <c r="C12" s="374"/>
      <c r="D12" s="374"/>
      <c r="E12" s="374"/>
      <c r="F12" s="70">
        <f>SUM(F8:F11)</f>
        <v>10</v>
      </c>
      <c r="G12" s="70"/>
      <c r="H12" s="70"/>
      <c r="I12" s="70"/>
      <c r="J12" s="77"/>
      <c r="K12" s="77"/>
    </row>
    <row r="14" spans="1:11">
      <c r="A14" s="41" t="s">
        <v>548</v>
      </c>
    </row>
    <row r="15" spans="1:11">
      <c r="A15" t="s">
        <v>549</v>
      </c>
    </row>
    <row r="16" spans="1:11">
      <c r="A16" t="s">
        <v>550</v>
      </c>
    </row>
    <row r="17" spans="1:13">
      <c r="A17" t="s">
        <v>551</v>
      </c>
    </row>
    <row r="21" spans="1:13" ht="18.75">
      <c r="A21" s="387" t="s">
        <v>555</v>
      </c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</row>
    <row r="22" spans="1:13" ht="30">
      <c r="A22" s="379" t="s">
        <v>543</v>
      </c>
      <c r="B22" s="380" t="s">
        <v>538</v>
      </c>
      <c r="C22" s="381" t="s">
        <v>539</v>
      </c>
      <c r="D22" s="175" t="s">
        <v>62</v>
      </c>
    </row>
    <row r="23" spans="1:13">
      <c r="A23" s="176" t="s">
        <v>146</v>
      </c>
      <c r="B23" s="374">
        <v>10</v>
      </c>
      <c r="C23" s="70">
        <v>8</v>
      </c>
      <c r="D23" s="378">
        <f>((B23/SUM(Indicator_1))*W1_ + (C23/SUM(Indicator_2))*W2_) / (W1_ + W2_)</f>
        <v>0.6</v>
      </c>
    </row>
    <row r="24" spans="1:13">
      <c r="A24" s="176" t="s">
        <v>147</v>
      </c>
      <c r="B24" s="374">
        <v>6</v>
      </c>
      <c r="C24" s="70">
        <v>1</v>
      </c>
      <c r="D24" s="378">
        <f>((B24/SUM(Indicator_1))*W1_ + (C24/SUM(Indicator_2))*W2_) / (W1_ + W2_)</f>
        <v>0.23333333333333331</v>
      </c>
    </row>
    <row r="25" spans="1:13">
      <c r="A25" s="176" t="s">
        <v>148</v>
      </c>
      <c r="B25" s="374">
        <v>4</v>
      </c>
      <c r="C25" s="70">
        <v>1</v>
      </c>
      <c r="D25" s="378">
        <f>((B25/SUM(Indicator_1))*W1_ + (C25/SUM(Indicator_2))*W2_) / (W1_ + W2_)</f>
        <v>0.16666666666666666</v>
      </c>
    </row>
    <row r="27" spans="1:13">
      <c r="A27" s="208" t="s">
        <v>552</v>
      </c>
      <c r="B27" s="176"/>
    </row>
    <row r="28" spans="1:13">
      <c r="A28" s="176" t="s">
        <v>553</v>
      </c>
      <c r="B28" s="176">
        <v>2</v>
      </c>
    </row>
    <row r="29" spans="1:13">
      <c r="A29" s="176" t="s">
        <v>554</v>
      </c>
      <c r="B29" s="176">
        <v>1</v>
      </c>
    </row>
    <row r="31" spans="1:13">
      <c r="A31" s="41" t="s">
        <v>548</v>
      </c>
    </row>
    <row r="32" spans="1:13">
      <c r="A32" s="67" t="s">
        <v>556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AH160"/>
  <sheetViews>
    <sheetView zoomScaleNormal="100" zoomScalePageLayoutView="125" workbookViewId="0">
      <pane ySplit="7" topLeftCell="A8" activePane="bottomLeft" state="frozenSplit"/>
      <selection activeCell="AD5" sqref="AD5"/>
      <selection pane="bottomLeft"/>
    </sheetView>
  </sheetViews>
  <sheetFormatPr defaultColWidth="11.42578125" defaultRowHeight="12.75"/>
  <cols>
    <col min="1" max="1" width="3.140625" style="313" customWidth="1"/>
    <col min="2" max="2" width="27" style="313" customWidth="1"/>
    <col min="3" max="3" width="4.28515625" style="213" customWidth="1"/>
    <col min="4" max="4" width="5.140625" style="214" customWidth="1"/>
    <col min="5" max="5" width="12.5703125" style="314" customWidth="1"/>
    <col min="6" max="6" width="1" style="212" customWidth="1"/>
    <col min="7" max="9" width="3.7109375" style="313" customWidth="1"/>
    <col min="10" max="10" width="0.85546875" style="212" customWidth="1"/>
    <col min="11" max="15" width="3.7109375" style="313" customWidth="1"/>
    <col min="16" max="16" width="0.85546875" style="212" customWidth="1"/>
    <col min="17" max="20" width="3.7109375" style="313" customWidth="1"/>
    <col min="21" max="21" width="3" style="313" customWidth="1"/>
    <col min="22" max="22" width="4.140625" style="313" bestFit="1" customWidth="1"/>
    <col min="23" max="23" width="0.85546875" style="284" customWidth="1"/>
    <col min="24" max="24" width="3.28515625" style="284" customWidth="1"/>
    <col min="25" max="25" width="3.28515625" style="313" bestFit="1" customWidth="1"/>
    <col min="26" max="26" width="3.140625" style="313" bestFit="1" customWidth="1"/>
    <col min="27" max="27" width="0.85546875" style="284" customWidth="1"/>
    <col min="28" max="28" width="11" style="313" customWidth="1"/>
    <col min="29" max="29" width="11.42578125" style="313" customWidth="1"/>
    <col min="30" max="16384" width="11.42578125" style="313"/>
  </cols>
  <sheetData>
    <row r="1" spans="1:34" s="212" customFormat="1">
      <c r="C1" s="213"/>
      <c r="D1" s="214"/>
      <c r="E1" s="214"/>
      <c r="W1" s="215"/>
      <c r="X1" s="215"/>
      <c r="AA1" s="215"/>
    </row>
    <row r="2" spans="1:34" s="212" customFormat="1" ht="27" customHeight="1">
      <c r="B2" s="216" t="s">
        <v>223</v>
      </c>
      <c r="C2" s="213"/>
      <c r="D2" s="214"/>
      <c r="E2" s="214"/>
      <c r="W2" s="215"/>
      <c r="X2" s="215"/>
      <c r="AA2" s="215"/>
      <c r="AB2" s="217"/>
    </row>
    <row r="3" spans="1:34" s="218" customFormat="1" ht="18" customHeight="1">
      <c r="B3" s="219"/>
      <c r="C3" s="220"/>
      <c r="D3" s="220"/>
      <c r="E3" s="220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2"/>
      <c r="W3" s="221"/>
      <c r="X3" s="221"/>
      <c r="Y3" s="221"/>
      <c r="Z3" s="221"/>
      <c r="AA3" s="221"/>
      <c r="AB3" s="223"/>
    </row>
    <row r="4" spans="1:34" s="224" customFormat="1" ht="4.5" customHeight="1">
      <c r="B4" s="225"/>
      <c r="C4" s="226"/>
      <c r="D4" s="226"/>
      <c r="E4" s="226"/>
      <c r="V4" s="227"/>
    </row>
    <row r="5" spans="1:34" s="228" customFormat="1" ht="89.25" customHeight="1">
      <c r="C5" s="229" t="s">
        <v>224</v>
      </c>
      <c r="D5" s="229" t="s">
        <v>225</v>
      </c>
      <c r="E5" s="229" t="s">
        <v>226</v>
      </c>
      <c r="F5" s="230"/>
      <c r="G5" s="231" t="s">
        <v>227</v>
      </c>
      <c r="H5" s="231" t="s">
        <v>228</v>
      </c>
      <c r="I5" s="231"/>
      <c r="J5" s="232"/>
      <c r="K5" s="231" t="s">
        <v>229</v>
      </c>
      <c r="L5" s="231" t="s">
        <v>230</v>
      </c>
      <c r="M5" s="231" t="s">
        <v>231</v>
      </c>
      <c r="N5" s="231" t="s">
        <v>232</v>
      </c>
      <c r="O5" s="231"/>
      <c r="P5" s="232"/>
      <c r="Q5" s="231" t="s">
        <v>233</v>
      </c>
      <c r="R5" s="231" t="s">
        <v>234</v>
      </c>
      <c r="S5" s="231" t="s">
        <v>235</v>
      </c>
      <c r="T5" s="231"/>
      <c r="U5" s="232"/>
      <c r="V5" s="413" t="s">
        <v>236</v>
      </c>
      <c r="W5" s="233"/>
      <c r="X5" s="414" t="s">
        <v>237</v>
      </c>
      <c r="Y5" s="231" t="s">
        <v>238</v>
      </c>
      <c r="Z5" s="231"/>
      <c r="AA5" s="234"/>
      <c r="AB5" s="413" t="s">
        <v>239</v>
      </c>
      <c r="AC5" s="235"/>
      <c r="AE5" s="236"/>
      <c r="AF5" s="236"/>
      <c r="AG5" s="236"/>
      <c r="AH5" s="236"/>
    </row>
    <row r="6" spans="1:34" s="228" customFormat="1" ht="16.5" customHeight="1">
      <c r="B6" s="415" t="s">
        <v>240</v>
      </c>
      <c r="C6" s="415"/>
      <c r="D6" s="415"/>
      <c r="E6" s="415"/>
      <c r="F6" s="237"/>
      <c r="G6" s="416" t="s">
        <v>241</v>
      </c>
      <c r="H6" s="416"/>
      <c r="I6" s="416"/>
      <c r="J6" s="237"/>
      <c r="K6" s="415" t="s">
        <v>242</v>
      </c>
      <c r="L6" s="415"/>
      <c r="M6" s="415"/>
      <c r="N6" s="415"/>
      <c r="O6" s="415"/>
      <c r="P6" s="238"/>
      <c r="Q6" s="415" t="s">
        <v>243</v>
      </c>
      <c r="R6" s="415"/>
      <c r="S6" s="415"/>
      <c r="T6" s="415"/>
      <c r="U6" s="232"/>
      <c r="V6" s="413"/>
      <c r="W6" s="233"/>
      <c r="X6" s="414"/>
      <c r="Y6" s="231"/>
      <c r="Z6" s="231"/>
      <c r="AA6" s="234"/>
      <c r="AB6" s="413"/>
      <c r="AC6" s="235"/>
      <c r="AE6" s="236"/>
      <c r="AF6" s="236"/>
      <c r="AG6" s="236"/>
      <c r="AH6" s="236"/>
    </row>
    <row r="7" spans="1:34" s="228" customFormat="1" ht="12.75" customHeight="1">
      <c r="C7" s="229"/>
      <c r="D7" s="229"/>
      <c r="E7" s="229"/>
      <c r="F7" s="230"/>
      <c r="G7" s="231"/>
      <c r="H7" s="231"/>
      <c r="I7" s="231"/>
      <c r="J7" s="232"/>
      <c r="K7" s="231"/>
      <c r="L7" s="231"/>
      <c r="M7" s="231"/>
      <c r="N7" s="231"/>
      <c r="O7" s="231"/>
      <c r="P7" s="232"/>
      <c r="Q7" s="231"/>
      <c r="R7" s="231"/>
      <c r="S7" s="231"/>
      <c r="T7" s="231"/>
      <c r="U7" s="232"/>
      <c r="V7" s="239"/>
      <c r="W7" s="233"/>
      <c r="X7" s="231"/>
      <c r="Y7" s="231"/>
      <c r="Z7" s="231"/>
      <c r="AA7" s="240"/>
      <c r="AB7" s="239"/>
      <c r="AC7" s="235"/>
      <c r="AE7" s="236"/>
      <c r="AF7" s="236"/>
      <c r="AG7" s="236"/>
      <c r="AH7" s="236"/>
    </row>
    <row r="8" spans="1:34" s="241" customFormat="1">
      <c r="B8" s="242" t="s">
        <v>244</v>
      </c>
      <c r="C8" s="243" t="s">
        <v>245</v>
      </c>
      <c r="D8" s="243" t="s">
        <v>246</v>
      </c>
      <c r="E8" s="244" t="s">
        <v>247</v>
      </c>
      <c r="F8" s="245"/>
      <c r="G8" s="246">
        <v>4.38</v>
      </c>
      <c r="H8" s="247">
        <v>8.92</v>
      </c>
      <c r="I8" s="246">
        <f t="shared" ref="I8:I71" si="0">(G8*0.5)+(H8*0.5)</f>
        <v>6.65</v>
      </c>
      <c r="J8" s="248"/>
      <c r="K8" s="246">
        <v>9.91</v>
      </c>
      <c r="L8" s="246">
        <v>9.3000000000000007</v>
      </c>
      <c r="M8" s="246">
        <v>8</v>
      </c>
      <c r="N8" s="246">
        <v>7.79</v>
      </c>
      <c r="O8" s="249">
        <f t="shared" ref="O8:O71" si="1">(K8*0.35)+(L8*0.35)+(M8*0.25)+(N8*0.05)</f>
        <v>9.1129999999999995</v>
      </c>
      <c r="P8" s="250"/>
      <c r="Q8" s="246">
        <v>7.23</v>
      </c>
      <c r="R8" s="246">
        <v>7.7200000000000006</v>
      </c>
      <c r="S8" s="246">
        <v>7.45</v>
      </c>
      <c r="T8" s="249">
        <f t="shared" ref="T8:T71" si="2">SUM(Q8:S8)/3</f>
        <v>7.4666666666666677</v>
      </c>
      <c r="U8" s="251"/>
      <c r="V8" s="252">
        <f t="shared" ref="V8:V71" si="3">(I8+O8+T8)/3</f>
        <v>7.7432222222222222</v>
      </c>
      <c r="W8" s="253"/>
      <c r="X8" s="254">
        <v>9.9333333333333336</v>
      </c>
      <c r="Y8" s="255">
        <v>7.6</v>
      </c>
      <c r="Z8" s="256">
        <v>9.3000000000000007</v>
      </c>
      <c r="AA8" s="253"/>
      <c r="AB8" s="257">
        <f t="shared" ref="AB8:AB71" si="4">(I8*0.3)+(O8*0.3)+(T8*0.3)+(X8*0.1)</f>
        <v>7.9622333333333328</v>
      </c>
      <c r="AC8" s="258"/>
    </row>
    <row r="9" spans="1:34" s="241" customFormat="1">
      <c r="B9" s="242" t="s">
        <v>248</v>
      </c>
      <c r="C9" s="243" t="s">
        <v>245</v>
      </c>
      <c r="D9" s="243" t="s">
        <v>246</v>
      </c>
      <c r="E9" s="244" t="s">
        <v>249</v>
      </c>
      <c r="F9" s="259"/>
      <c r="G9" s="246">
        <v>3.6399999999999997</v>
      </c>
      <c r="H9" s="247">
        <v>9.8800000000000008</v>
      </c>
      <c r="I9" s="246">
        <f t="shared" si="0"/>
        <v>6.76</v>
      </c>
      <c r="J9" s="248"/>
      <c r="K9" s="246">
        <v>9.11</v>
      </c>
      <c r="L9" s="246">
        <v>8.09</v>
      </c>
      <c r="M9" s="246">
        <v>8.43</v>
      </c>
      <c r="N9" s="246">
        <v>7.84</v>
      </c>
      <c r="O9" s="249">
        <f t="shared" si="1"/>
        <v>8.519499999999999</v>
      </c>
      <c r="P9" s="250"/>
      <c r="Q9" s="246">
        <v>7.7200000000000006</v>
      </c>
      <c r="R9" s="246">
        <v>8.08</v>
      </c>
      <c r="S9" s="246">
        <v>7.23</v>
      </c>
      <c r="T9" s="249">
        <f t="shared" si="2"/>
        <v>7.6766666666666667</v>
      </c>
      <c r="U9" s="251"/>
      <c r="V9" s="252">
        <f t="shared" si="3"/>
        <v>7.6520555555555552</v>
      </c>
      <c r="W9" s="253"/>
      <c r="X9" s="254">
        <v>9.9333333333333336</v>
      </c>
      <c r="Y9" s="255">
        <v>7.6</v>
      </c>
      <c r="Z9" s="256">
        <v>9.3000000000000007</v>
      </c>
      <c r="AA9" s="253"/>
      <c r="AB9" s="257">
        <f t="shared" si="4"/>
        <v>7.8801833333333331</v>
      </c>
      <c r="AC9" s="258"/>
    </row>
    <row r="10" spans="1:34" s="241" customFormat="1">
      <c r="A10" s="260"/>
      <c r="B10" s="242" t="s">
        <v>250</v>
      </c>
      <c r="C10" s="243" t="s">
        <v>245</v>
      </c>
      <c r="D10" s="243" t="s">
        <v>246</v>
      </c>
      <c r="E10" s="244" t="s">
        <v>251</v>
      </c>
      <c r="F10" s="261"/>
      <c r="G10" s="246">
        <v>5.91</v>
      </c>
      <c r="H10" s="247">
        <v>9.3699999999999992</v>
      </c>
      <c r="I10" s="246">
        <f t="shared" si="0"/>
        <v>7.64</v>
      </c>
      <c r="J10" s="248"/>
      <c r="K10" s="246">
        <v>9.8699999999999992</v>
      </c>
      <c r="L10" s="246">
        <v>9.1199999999999992</v>
      </c>
      <c r="M10" s="246">
        <v>3.4000000000000004</v>
      </c>
      <c r="N10" s="246">
        <v>7.8599999999999994</v>
      </c>
      <c r="O10" s="249">
        <f t="shared" si="1"/>
        <v>7.8894999999999991</v>
      </c>
      <c r="P10" s="250"/>
      <c r="Q10" s="246">
        <v>7.54</v>
      </c>
      <c r="R10" s="246">
        <v>6.7799999999999994</v>
      </c>
      <c r="S10" s="246">
        <v>7.3900000000000006</v>
      </c>
      <c r="T10" s="249">
        <f t="shared" si="2"/>
        <v>7.2366666666666672</v>
      </c>
      <c r="U10" s="262"/>
      <c r="V10" s="252">
        <f t="shared" si="3"/>
        <v>7.5887222222222226</v>
      </c>
      <c r="W10" s="253"/>
      <c r="X10" s="254">
        <v>9.9333333333333336</v>
      </c>
      <c r="Y10" s="255">
        <v>9.6999999999999993</v>
      </c>
      <c r="Z10" s="256">
        <v>9.8000000000000007</v>
      </c>
      <c r="AA10" s="253"/>
      <c r="AB10" s="257">
        <f t="shared" si="4"/>
        <v>7.8231833333333327</v>
      </c>
      <c r="AC10" s="263"/>
    </row>
    <row r="11" spans="1:34" s="241" customFormat="1">
      <c r="B11" s="242" t="s">
        <v>252</v>
      </c>
      <c r="C11" s="243" t="s">
        <v>245</v>
      </c>
      <c r="D11" s="243" t="s">
        <v>246</v>
      </c>
      <c r="E11" s="244" t="s">
        <v>249</v>
      </c>
      <c r="F11" s="261"/>
      <c r="G11" s="246">
        <v>3.58</v>
      </c>
      <c r="H11" s="247">
        <v>8.51</v>
      </c>
      <c r="I11" s="246">
        <f t="shared" si="0"/>
        <v>6.0449999999999999</v>
      </c>
      <c r="J11" s="248"/>
      <c r="K11" s="246">
        <v>9.73</v>
      </c>
      <c r="L11" s="246">
        <v>9.27</v>
      </c>
      <c r="M11" s="246">
        <v>6.55</v>
      </c>
      <c r="N11" s="246">
        <v>8.2799999999999994</v>
      </c>
      <c r="O11" s="249">
        <f t="shared" si="1"/>
        <v>8.7014999999999993</v>
      </c>
      <c r="P11" s="250"/>
      <c r="Q11" s="246">
        <v>8.15</v>
      </c>
      <c r="R11" s="246">
        <v>8.2799999999999994</v>
      </c>
      <c r="S11" s="246">
        <v>7.65</v>
      </c>
      <c r="T11" s="249">
        <f t="shared" si="2"/>
        <v>8.0266666666666655</v>
      </c>
      <c r="U11" s="251"/>
      <c r="V11" s="252">
        <f t="shared" si="3"/>
        <v>7.5910555555555552</v>
      </c>
      <c r="W11" s="253"/>
      <c r="X11" s="254">
        <v>9.6</v>
      </c>
      <c r="Y11" s="255">
        <v>7.6</v>
      </c>
      <c r="Z11" s="256">
        <v>9.1999999999999993</v>
      </c>
      <c r="AA11" s="253"/>
      <c r="AB11" s="257">
        <f t="shared" si="4"/>
        <v>7.791949999999999</v>
      </c>
      <c r="AC11" s="258"/>
    </row>
    <row r="12" spans="1:34" s="241" customFormat="1">
      <c r="B12" s="242" t="s">
        <v>253</v>
      </c>
      <c r="C12" s="243" t="s">
        <v>245</v>
      </c>
      <c r="D12" s="243" t="s">
        <v>246</v>
      </c>
      <c r="E12" s="244" t="s">
        <v>254</v>
      </c>
      <c r="F12" s="245"/>
      <c r="G12" s="246">
        <v>2.2999999999999998</v>
      </c>
      <c r="H12" s="247">
        <v>9.69</v>
      </c>
      <c r="I12" s="246">
        <f t="shared" si="0"/>
        <v>5.9949999999999992</v>
      </c>
      <c r="J12" s="248"/>
      <c r="K12" s="246">
        <v>9.6</v>
      </c>
      <c r="L12" s="246">
        <v>8.58</v>
      </c>
      <c r="M12" s="246">
        <v>6.0299999999999994</v>
      </c>
      <c r="N12" s="246">
        <v>8.9600000000000009</v>
      </c>
      <c r="O12" s="249">
        <f t="shared" si="1"/>
        <v>8.3185000000000002</v>
      </c>
      <c r="P12" s="250"/>
      <c r="Q12" s="246">
        <v>7.74</v>
      </c>
      <c r="R12" s="246">
        <v>7.7799999999999994</v>
      </c>
      <c r="S12" s="246">
        <v>8.51</v>
      </c>
      <c r="T12" s="249">
        <f t="shared" si="2"/>
        <v>8.01</v>
      </c>
      <c r="U12" s="251"/>
      <c r="V12" s="252">
        <f t="shared" si="3"/>
        <v>7.4411666666666667</v>
      </c>
      <c r="W12" s="253"/>
      <c r="X12" s="254">
        <v>9.6</v>
      </c>
      <c r="Y12" s="255">
        <v>9.6999999999999993</v>
      </c>
      <c r="Z12" s="256">
        <v>9.6</v>
      </c>
      <c r="AA12" s="253"/>
      <c r="AB12" s="257">
        <f t="shared" si="4"/>
        <v>7.6570500000000008</v>
      </c>
      <c r="AC12" s="263"/>
    </row>
    <row r="13" spans="1:34" s="241" customFormat="1">
      <c r="A13" s="260"/>
      <c r="B13" s="242" t="s">
        <v>255</v>
      </c>
      <c r="C13" s="243" t="s">
        <v>245</v>
      </c>
      <c r="D13" s="243" t="s">
        <v>246</v>
      </c>
      <c r="E13" s="244" t="s">
        <v>256</v>
      </c>
      <c r="F13" s="261"/>
      <c r="G13" s="246">
        <v>8.9499999999999993</v>
      </c>
      <c r="H13" s="247">
        <v>7.46</v>
      </c>
      <c r="I13" s="246">
        <f t="shared" si="0"/>
        <v>8.2050000000000001</v>
      </c>
      <c r="J13" s="248"/>
      <c r="K13" s="246">
        <v>8.43</v>
      </c>
      <c r="L13" s="246">
        <v>8.58</v>
      </c>
      <c r="M13" s="246">
        <v>2.6500000000000004</v>
      </c>
      <c r="N13" s="246">
        <v>5.01</v>
      </c>
      <c r="O13" s="249">
        <f t="shared" si="1"/>
        <v>6.8664999999999994</v>
      </c>
      <c r="P13" s="250"/>
      <c r="Q13" s="246">
        <v>8.120000000000001</v>
      </c>
      <c r="R13" s="246">
        <v>6.59</v>
      </c>
      <c r="S13" s="246">
        <v>5.78</v>
      </c>
      <c r="T13" s="249">
        <f t="shared" si="2"/>
        <v>6.830000000000001</v>
      </c>
      <c r="U13" s="251"/>
      <c r="V13" s="252">
        <f t="shared" si="3"/>
        <v>7.3005000000000004</v>
      </c>
      <c r="W13" s="253"/>
      <c r="X13" s="254">
        <v>8.8333333333333339</v>
      </c>
      <c r="Y13" s="255">
        <v>8.6999999999999993</v>
      </c>
      <c r="Z13" s="256">
        <v>9.4</v>
      </c>
      <c r="AA13" s="253"/>
      <c r="AB13" s="257">
        <f t="shared" si="4"/>
        <v>7.4537833333333339</v>
      </c>
      <c r="AC13" s="258"/>
    </row>
    <row r="14" spans="1:34" s="241" customFormat="1">
      <c r="B14" s="242" t="s">
        <v>257</v>
      </c>
      <c r="C14" s="243" t="s">
        <v>245</v>
      </c>
      <c r="D14" s="243" t="s">
        <v>246</v>
      </c>
      <c r="E14" s="244" t="s">
        <v>254</v>
      </c>
      <c r="F14" s="261"/>
      <c r="G14" s="246">
        <v>4.42</v>
      </c>
      <c r="H14" s="247">
        <v>8.32</v>
      </c>
      <c r="I14" s="246">
        <f t="shared" si="0"/>
        <v>6.37</v>
      </c>
      <c r="J14" s="248"/>
      <c r="K14" s="246">
        <v>9.17</v>
      </c>
      <c r="L14" s="246">
        <v>8.77</v>
      </c>
      <c r="M14" s="246">
        <v>6.2200000000000006</v>
      </c>
      <c r="N14" s="246">
        <v>8.4600000000000009</v>
      </c>
      <c r="O14" s="249">
        <f t="shared" si="1"/>
        <v>8.2569999999999997</v>
      </c>
      <c r="P14" s="250"/>
      <c r="Q14" s="246">
        <v>5.81</v>
      </c>
      <c r="R14" s="246">
        <v>7.21</v>
      </c>
      <c r="S14" s="246">
        <v>8.4700000000000006</v>
      </c>
      <c r="T14" s="249">
        <f t="shared" si="2"/>
        <v>7.163333333333334</v>
      </c>
      <c r="U14" s="251"/>
      <c r="V14" s="252">
        <f t="shared" si="3"/>
        <v>7.2634444444444446</v>
      </c>
      <c r="W14" s="253"/>
      <c r="X14" s="254">
        <v>8.8333333333333339</v>
      </c>
      <c r="Y14" s="255">
        <v>8.6999999999999993</v>
      </c>
      <c r="Z14" s="256">
        <v>9.4</v>
      </c>
      <c r="AA14" s="253"/>
      <c r="AB14" s="257">
        <f t="shared" si="4"/>
        <v>7.4204333333333334</v>
      </c>
      <c r="AC14" s="263"/>
    </row>
    <row r="15" spans="1:34" s="241" customFormat="1">
      <c r="A15" s="260"/>
      <c r="B15" s="242" t="s">
        <v>258</v>
      </c>
      <c r="C15" s="243"/>
      <c r="D15" s="243" t="s">
        <v>246</v>
      </c>
      <c r="E15" s="244" t="s">
        <v>251</v>
      </c>
      <c r="F15" s="234"/>
      <c r="G15" s="246">
        <v>7.27</v>
      </c>
      <c r="H15" s="247">
        <v>9.42</v>
      </c>
      <c r="I15" s="246">
        <f t="shared" si="0"/>
        <v>8.3449999999999989</v>
      </c>
      <c r="J15" s="248"/>
      <c r="K15" s="246">
        <v>8.14</v>
      </c>
      <c r="L15" s="246">
        <v>7.92</v>
      </c>
      <c r="M15" s="246">
        <v>6.85</v>
      </c>
      <c r="N15" s="246">
        <v>5.8</v>
      </c>
      <c r="O15" s="249">
        <f t="shared" si="1"/>
        <v>7.6235000000000008</v>
      </c>
      <c r="P15" s="250"/>
      <c r="Q15" s="246">
        <v>5.77</v>
      </c>
      <c r="R15" s="246">
        <v>6.52</v>
      </c>
      <c r="S15" s="246">
        <v>5.92</v>
      </c>
      <c r="T15" s="249">
        <f t="shared" si="2"/>
        <v>6.07</v>
      </c>
      <c r="U15" s="251"/>
      <c r="V15" s="252">
        <f t="shared" si="3"/>
        <v>7.3461666666666661</v>
      </c>
      <c r="W15" s="253"/>
      <c r="X15" s="254">
        <v>7.7333333333333343</v>
      </c>
      <c r="Y15" s="255">
        <v>9.6999999999999993</v>
      </c>
      <c r="Z15" s="256">
        <v>9.6</v>
      </c>
      <c r="AA15" s="253"/>
      <c r="AB15" s="257">
        <f t="shared" si="4"/>
        <v>7.3848833333333328</v>
      </c>
      <c r="AC15" s="258"/>
    </row>
    <row r="16" spans="1:34" s="241" customFormat="1">
      <c r="A16" s="260"/>
      <c r="B16" s="242" t="s">
        <v>259</v>
      </c>
      <c r="C16" s="243" t="s">
        <v>245</v>
      </c>
      <c r="D16" s="243" t="s">
        <v>246</v>
      </c>
      <c r="E16" s="244" t="s">
        <v>249</v>
      </c>
      <c r="F16" s="234"/>
      <c r="G16" s="246">
        <v>2.54</v>
      </c>
      <c r="H16" s="247">
        <v>7.92</v>
      </c>
      <c r="I16" s="246">
        <f t="shared" si="0"/>
        <v>5.23</v>
      </c>
      <c r="J16" s="248"/>
      <c r="K16" s="246">
        <v>9.18</v>
      </c>
      <c r="L16" s="246">
        <v>9.1</v>
      </c>
      <c r="M16" s="246">
        <v>5.72</v>
      </c>
      <c r="N16" s="246">
        <v>7.13</v>
      </c>
      <c r="O16" s="249">
        <f t="shared" si="1"/>
        <v>8.1844999999999999</v>
      </c>
      <c r="P16" s="250"/>
      <c r="Q16" s="246">
        <v>7.77</v>
      </c>
      <c r="R16" s="246">
        <v>7.4</v>
      </c>
      <c r="S16" s="246">
        <v>7.77</v>
      </c>
      <c r="T16" s="249">
        <f t="shared" si="2"/>
        <v>7.6466666666666656</v>
      </c>
      <c r="U16" s="251"/>
      <c r="V16" s="252">
        <f t="shared" si="3"/>
        <v>7.0203888888888883</v>
      </c>
      <c r="W16" s="253"/>
      <c r="X16" s="254">
        <v>8.9333333333333336</v>
      </c>
      <c r="Y16" s="255">
        <v>6.2</v>
      </c>
      <c r="Z16" s="256">
        <v>8.1</v>
      </c>
      <c r="AA16" s="253"/>
      <c r="AB16" s="257">
        <f t="shared" si="4"/>
        <v>7.2116833333333332</v>
      </c>
      <c r="AC16" s="263"/>
    </row>
    <row r="17" spans="1:29" s="241" customFormat="1">
      <c r="A17" s="260"/>
      <c r="B17" s="242" t="s">
        <v>260</v>
      </c>
      <c r="C17" s="243" t="s">
        <v>245</v>
      </c>
      <c r="D17" s="243" t="s">
        <v>246</v>
      </c>
      <c r="E17" s="244" t="s">
        <v>251</v>
      </c>
      <c r="F17" s="259"/>
      <c r="G17" s="246">
        <v>1.8200000000000003</v>
      </c>
      <c r="H17" s="247">
        <v>8.6</v>
      </c>
      <c r="I17" s="246">
        <f t="shared" si="0"/>
        <v>5.21</v>
      </c>
      <c r="J17" s="248"/>
      <c r="K17" s="246">
        <v>7.65</v>
      </c>
      <c r="L17" s="246">
        <v>8.33</v>
      </c>
      <c r="M17" s="246">
        <v>6.41</v>
      </c>
      <c r="N17" s="246">
        <v>8.57</v>
      </c>
      <c r="O17" s="249">
        <f t="shared" si="1"/>
        <v>7.6239999999999997</v>
      </c>
      <c r="P17" s="250"/>
      <c r="Q17" s="246">
        <v>7.6099999999999994</v>
      </c>
      <c r="R17" s="246">
        <v>7.6099999999999994</v>
      </c>
      <c r="S17" s="246">
        <v>8.2100000000000009</v>
      </c>
      <c r="T17" s="249">
        <f t="shared" si="2"/>
        <v>7.81</v>
      </c>
      <c r="U17" s="251"/>
      <c r="V17" s="252">
        <f t="shared" si="3"/>
        <v>6.8813333333333331</v>
      </c>
      <c r="W17" s="253"/>
      <c r="X17" s="254">
        <v>9.9333333333333336</v>
      </c>
      <c r="Y17" s="255">
        <v>9.3000000000000007</v>
      </c>
      <c r="Z17" s="256">
        <v>9.6999999999999993</v>
      </c>
      <c r="AA17" s="253"/>
      <c r="AB17" s="257">
        <f t="shared" si="4"/>
        <v>7.1865333333333332</v>
      </c>
      <c r="AC17" s="258"/>
    </row>
    <row r="18" spans="1:29" s="241" customFormat="1">
      <c r="B18" s="242" t="s">
        <v>261</v>
      </c>
      <c r="C18" s="243" t="s">
        <v>245</v>
      </c>
      <c r="D18" s="243" t="s">
        <v>246</v>
      </c>
      <c r="E18" s="244" t="s">
        <v>249</v>
      </c>
      <c r="F18" s="259"/>
      <c r="G18" s="246">
        <v>3.2</v>
      </c>
      <c r="H18" s="247">
        <v>8.6</v>
      </c>
      <c r="I18" s="246">
        <f t="shared" si="0"/>
        <v>5.9</v>
      </c>
      <c r="J18" s="248"/>
      <c r="K18" s="246">
        <v>9</v>
      </c>
      <c r="L18" s="246">
        <v>7.25</v>
      </c>
      <c r="M18" s="246">
        <v>7.2200000000000006</v>
      </c>
      <c r="N18" s="246">
        <v>6.51</v>
      </c>
      <c r="O18" s="249">
        <f t="shared" si="1"/>
        <v>7.8179999999999996</v>
      </c>
      <c r="P18" s="250"/>
      <c r="Q18" s="246">
        <v>6.63</v>
      </c>
      <c r="R18" s="246">
        <v>6.79</v>
      </c>
      <c r="S18" s="246">
        <v>5.53</v>
      </c>
      <c r="T18" s="249">
        <f t="shared" si="2"/>
        <v>6.3166666666666664</v>
      </c>
      <c r="U18" s="251"/>
      <c r="V18" s="252">
        <f t="shared" si="3"/>
        <v>6.6782222222222218</v>
      </c>
      <c r="W18" s="253"/>
      <c r="X18" s="254">
        <v>9.9333333333333336</v>
      </c>
      <c r="Y18" s="255">
        <v>8.6999999999999993</v>
      </c>
      <c r="Z18" s="256">
        <v>9.6</v>
      </c>
      <c r="AA18" s="253"/>
      <c r="AB18" s="257">
        <f t="shared" si="4"/>
        <v>7.003733333333332</v>
      </c>
      <c r="AC18" s="258"/>
    </row>
    <row r="19" spans="1:29" s="241" customFormat="1">
      <c r="B19" s="242" t="s">
        <v>262</v>
      </c>
      <c r="C19" s="243" t="s">
        <v>245</v>
      </c>
      <c r="D19" s="243" t="s">
        <v>263</v>
      </c>
      <c r="E19" s="244" t="s">
        <v>254</v>
      </c>
      <c r="F19" s="264"/>
      <c r="G19" s="246">
        <v>4.01</v>
      </c>
      <c r="H19" s="247">
        <v>6.08</v>
      </c>
      <c r="I19" s="246">
        <f t="shared" si="0"/>
        <v>5.0449999999999999</v>
      </c>
      <c r="J19" s="248"/>
      <c r="K19" s="246">
        <v>8.42</v>
      </c>
      <c r="L19" s="246">
        <v>8.44</v>
      </c>
      <c r="M19" s="246">
        <v>6.2</v>
      </c>
      <c r="N19" s="246">
        <v>7.88</v>
      </c>
      <c r="O19" s="249">
        <f t="shared" si="1"/>
        <v>7.8449999999999998</v>
      </c>
      <c r="P19" s="250"/>
      <c r="Q19" s="246">
        <v>7.55</v>
      </c>
      <c r="R19" s="246">
        <v>6.84</v>
      </c>
      <c r="S19" s="246">
        <v>6.65</v>
      </c>
      <c r="T19" s="249">
        <f t="shared" si="2"/>
        <v>7.0133333333333328</v>
      </c>
      <c r="U19" s="251"/>
      <c r="V19" s="252">
        <f t="shared" si="3"/>
        <v>6.6344444444444441</v>
      </c>
      <c r="W19" s="253"/>
      <c r="X19" s="254">
        <v>9.9333333333333336</v>
      </c>
      <c r="Y19" s="255">
        <v>1</v>
      </c>
      <c r="Z19" s="256">
        <v>8</v>
      </c>
      <c r="AA19" s="253"/>
      <c r="AB19" s="257">
        <f t="shared" si="4"/>
        <v>6.9643333333333333</v>
      </c>
      <c r="AC19" s="263"/>
    </row>
    <row r="20" spans="1:29" s="241" customFormat="1">
      <c r="A20" s="265"/>
      <c r="B20" s="242" t="s">
        <v>264</v>
      </c>
      <c r="C20" s="243" t="s">
        <v>245</v>
      </c>
      <c r="D20" s="243" t="s">
        <v>265</v>
      </c>
      <c r="E20" s="244" t="s">
        <v>256</v>
      </c>
      <c r="F20" s="234"/>
      <c r="G20" s="246">
        <v>6.93</v>
      </c>
      <c r="H20" s="247">
        <v>5.69</v>
      </c>
      <c r="I20" s="246">
        <f t="shared" si="0"/>
        <v>6.3100000000000005</v>
      </c>
      <c r="J20" s="248"/>
      <c r="K20" s="246">
        <v>7.23</v>
      </c>
      <c r="L20" s="246">
        <v>7.2200000000000006</v>
      </c>
      <c r="M20" s="246">
        <v>5.23</v>
      </c>
      <c r="N20" s="246">
        <v>6</v>
      </c>
      <c r="O20" s="249">
        <f t="shared" si="1"/>
        <v>6.665</v>
      </c>
      <c r="P20" s="250"/>
      <c r="Q20" s="246">
        <v>6.2799999999999994</v>
      </c>
      <c r="R20" s="246">
        <v>6.4399999999999995</v>
      </c>
      <c r="S20" s="246">
        <v>6.68</v>
      </c>
      <c r="T20" s="249">
        <f t="shared" si="2"/>
        <v>6.4666666666666659</v>
      </c>
      <c r="U20" s="251"/>
      <c r="V20" s="252">
        <f t="shared" si="3"/>
        <v>6.4805555555555552</v>
      </c>
      <c r="W20" s="253"/>
      <c r="X20" s="254">
        <v>9.9333333333333336</v>
      </c>
      <c r="Y20" s="255">
        <v>9.6999999999999993</v>
      </c>
      <c r="Z20" s="256">
        <v>9.8000000000000007</v>
      </c>
      <c r="AA20" s="253"/>
      <c r="AB20" s="257">
        <f t="shared" si="4"/>
        <v>6.8258333333333328</v>
      </c>
      <c r="AC20" s="258"/>
    </row>
    <row r="21" spans="1:29" s="241" customFormat="1">
      <c r="A21" s="260"/>
      <c r="B21" s="242" t="s">
        <v>266</v>
      </c>
      <c r="C21" s="243" t="s">
        <v>245</v>
      </c>
      <c r="D21" s="243" t="s">
        <v>246</v>
      </c>
      <c r="E21" s="244" t="s">
        <v>247</v>
      </c>
      <c r="F21" s="261"/>
      <c r="G21" s="246">
        <v>2.13</v>
      </c>
      <c r="H21" s="247">
        <v>8.07</v>
      </c>
      <c r="I21" s="246">
        <f t="shared" si="0"/>
        <v>5.0999999999999996</v>
      </c>
      <c r="J21" s="248"/>
      <c r="K21" s="246">
        <v>8.25</v>
      </c>
      <c r="L21" s="246">
        <v>8.26</v>
      </c>
      <c r="M21" s="246">
        <v>6.2799999999999994</v>
      </c>
      <c r="N21" s="246">
        <v>6.4700000000000006</v>
      </c>
      <c r="O21" s="249">
        <f t="shared" si="1"/>
        <v>7.6719999999999997</v>
      </c>
      <c r="P21" s="250"/>
      <c r="Q21" s="246">
        <v>7.1099999999999994</v>
      </c>
      <c r="R21" s="246">
        <v>6.88</v>
      </c>
      <c r="S21" s="246">
        <v>5.54</v>
      </c>
      <c r="T21" s="249">
        <f t="shared" si="2"/>
        <v>6.5099999999999989</v>
      </c>
      <c r="U21" s="251"/>
      <c r="V21" s="252">
        <f t="shared" si="3"/>
        <v>6.4273333333333325</v>
      </c>
      <c r="W21" s="253"/>
      <c r="X21" s="254">
        <v>9.9333333333333336</v>
      </c>
      <c r="Y21" s="255">
        <v>6.2</v>
      </c>
      <c r="Z21" s="256">
        <v>9.1</v>
      </c>
      <c r="AA21" s="253"/>
      <c r="AB21" s="257">
        <f t="shared" si="4"/>
        <v>6.7779333333333325</v>
      </c>
      <c r="AC21" s="263"/>
    </row>
    <row r="22" spans="1:29" s="241" customFormat="1">
      <c r="B22" s="242" t="s">
        <v>267</v>
      </c>
      <c r="C22" s="243" t="s">
        <v>245</v>
      </c>
      <c r="D22" s="243" t="s">
        <v>246</v>
      </c>
      <c r="E22" s="244" t="s">
        <v>268</v>
      </c>
      <c r="F22" s="259"/>
      <c r="G22" s="246">
        <v>6.8900000000000006</v>
      </c>
      <c r="H22" s="247">
        <v>6.01</v>
      </c>
      <c r="I22" s="246">
        <f t="shared" si="0"/>
        <v>6.45</v>
      </c>
      <c r="J22" s="248"/>
      <c r="K22" s="246">
        <v>8.35</v>
      </c>
      <c r="L22" s="246">
        <v>8.31</v>
      </c>
      <c r="M22" s="246">
        <v>1.6999999999999993</v>
      </c>
      <c r="N22" s="246">
        <v>7.96</v>
      </c>
      <c r="O22" s="249">
        <f t="shared" si="1"/>
        <v>6.653999999999999</v>
      </c>
      <c r="P22" s="250"/>
      <c r="Q22" s="246">
        <v>6.4</v>
      </c>
      <c r="R22" s="246">
        <v>7.27</v>
      </c>
      <c r="S22" s="246">
        <v>5.2</v>
      </c>
      <c r="T22" s="249">
        <f t="shared" si="2"/>
        <v>6.29</v>
      </c>
      <c r="U22" s="251"/>
      <c r="V22" s="252">
        <f t="shared" si="3"/>
        <v>6.4646666666666661</v>
      </c>
      <c r="W22" s="253"/>
      <c r="X22" s="254">
        <v>9.2666666666666657</v>
      </c>
      <c r="Y22" s="255">
        <v>9.6999999999999993</v>
      </c>
      <c r="Z22" s="256">
        <v>9.3000000000000007</v>
      </c>
      <c r="AA22" s="253"/>
      <c r="AB22" s="257">
        <f t="shared" si="4"/>
        <v>6.7448666666666659</v>
      </c>
      <c r="AC22" s="258"/>
    </row>
    <row r="23" spans="1:29" s="241" customFormat="1">
      <c r="B23" s="242" t="s">
        <v>269</v>
      </c>
      <c r="C23" s="243" t="s">
        <v>245</v>
      </c>
      <c r="D23" s="243" t="s">
        <v>265</v>
      </c>
      <c r="E23" s="244" t="s">
        <v>251</v>
      </c>
      <c r="F23" s="259"/>
      <c r="G23" s="246">
        <v>3.71</v>
      </c>
      <c r="H23" s="247">
        <v>7.58</v>
      </c>
      <c r="I23" s="246">
        <f t="shared" si="0"/>
        <v>5.6449999999999996</v>
      </c>
      <c r="J23" s="248"/>
      <c r="K23" s="246">
        <v>5.05</v>
      </c>
      <c r="L23" s="246">
        <v>6.26</v>
      </c>
      <c r="M23" s="246">
        <v>8.14</v>
      </c>
      <c r="N23" s="246">
        <v>5.73</v>
      </c>
      <c r="O23" s="249">
        <f t="shared" si="1"/>
        <v>6.28</v>
      </c>
      <c r="P23" s="250"/>
      <c r="Q23" s="246">
        <v>8.32</v>
      </c>
      <c r="R23" s="246">
        <v>7.2200000000000006</v>
      </c>
      <c r="S23" s="246">
        <v>4.88</v>
      </c>
      <c r="T23" s="249">
        <f t="shared" si="2"/>
        <v>6.8066666666666675</v>
      </c>
      <c r="U23" s="251"/>
      <c r="V23" s="252">
        <f t="shared" si="3"/>
        <v>6.2438888888888897</v>
      </c>
      <c r="W23" s="253"/>
      <c r="X23" s="254">
        <v>9.9333333333333336</v>
      </c>
      <c r="Y23" s="255">
        <v>9.6999999999999993</v>
      </c>
      <c r="Z23" s="256">
        <v>9.8000000000000007</v>
      </c>
      <c r="AA23" s="253"/>
      <c r="AB23" s="257">
        <f t="shared" si="4"/>
        <v>6.6128333333333336</v>
      </c>
      <c r="AC23" s="258"/>
    </row>
    <row r="24" spans="1:29" s="241" customFormat="1">
      <c r="A24" s="260"/>
      <c r="B24" s="242" t="s">
        <v>270</v>
      </c>
      <c r="C24" s="243" t="s">
        <v>245</v>
      </c>
      <c r="D24" s="243" t="s">
        <v>265</v>
      </c>
      <c r="E24" s="244" t="s">
        <v>254</v>
      </c>
      <c r="F24" s="266"/>
      <c r="G24" s="246">
        <v>2.6500000000000004</v>
      </c>
      <c r="H24" s="247">
        <v>6.87</v>
      </c>
      <c r="I24" s="246">
        <f t="shared" si="0"/>
        <v>4.76</v>
      </c>
      <c r="J24" s="248"/>
      <c r="K24" s="246">
        <v>9.56</v>
      </c>
      <c r="L24" s="246">
        <v>7.6099999999999994</v>
      </c>
      <c r="M24" s="246">
        <v>6.08</v>
      </c>
      <c r="N24" s="246">
        <v>6.7200000000000006</v>
      </c>
      <c r="O24" s="249">
        <f t="shared" si="1"/>
        <v>7.865499999999999</v>
      </c>
      <c r="P24" s="250"/>
      <c r="Q24" s="246">
        <v>4.93</v>
      </c>
      <c r="R24" s="246">
        <v>6.93</v>
      </c>
      <c r="S24" s="246">
        <v>6.71</v>
      </c>
      <c r="T24" s="249">
        <f t="shared" si="2"/>
        <v>6.19</v>
      </c>
      <c r="U24" s="262"/>
      <c r="V24" s="252">
        <f t="shared" si="3"/>
        <v>6.2718333333333334</v>
      </c>
      <c r="W24" s="253"/>
      <c r="X24" s="254">
        <v>9.6</v>
      </c>
      <c r="Y24" s="255">
        <v>3.1</v>
      </c>
      <c r="Z24" s="256">
        <v>8.3000000000000007</v>
      </c>
      <c r="AA24" s="253"/>
      <c r="AB24" s="257">
        <f t="shared" si="4"/>
        <v>6.6046499999999995</v>
      </c>
      <c r="AC24" s="258"/>
    </row>
    <row r="25" spans="1:29" s="241" customFormat="1">
      <c r="A25" s="260"/>
      <c r="B25" s="242" t="s">
        <v>271</v>
      </c>
      <c r="C25" s="243" t="s">
        <v>245</v>
      </c>
      <c r="D25" s="243" t="s">
        <v>265</v>
      </c>
      <c r="E25" s="244" t="s">
        <v>249</v>
      </c>
      <c r="F25" s="266"/>
      <c r="G25" s="246">
        <v>2.95</v>
      </c>
      <c r="H25" s="247">
        <v>6.33</v>
      </c>
      <c r="I25" s="246">
        <f t="shared" si="0"/>
        <v>4.6400000000000006</v>
      </c>
      <c r="J25" s="248"/>
      <c r="K25" s="246">
        <v>9.48</v>
      </c>
      <c r="L25" s="246">
        <v>7.66</v>
      </c>
      <c r="M25" s="246">
        <v>4.55</v>
      </c>
      <c r="N25" s="246">
        <v>7.17</v>
      </c>
      <c r="O25" s="249">
        <f t="shared" si="1"/>
        <v>7.495000000000001</v>
      </c>
      <c r="P25" s="250"/>
      <c r="Q25" s="246">
        <v>6.37</v>
      </c>
      <c r="R25" s="246">
        <v>7.4</v>
      </c>
      <c r="S25" s="246">
        <v>6.08</v>
      </c>
      <c r="T25" s="249">
        <f t="shared" si="2"/>
        <v>6.6166666666666671</v>
      </c>
      <c r="U25" s="251"/>
      <c r="V25" s="252">
        <f t="shared" si="3"/>
        <v>6.2505555555555565</v>
      </c>
      <c r="W25" s="253"/>
      <c r="X25" s="254">
        <v>9.6</v>
      </c>
      <c r="Y25" s="255">
        <v>6.2</v>
      </c>
      <c r="Z25" s="256">
        <v>8.9</v>
      </c>
      <c r="AA25" s="253"/>
      <c r="AB25" s="257">
        <f t="shared" si="4"/>
        <v>6.5855000000000006</v>
      </c>
      <c r="AC25" s="258"/>
    </row>
    <row r="26" spans="1:29" s="241" customFormat="1">
      <c r="A26" s="260"/>
      <c r="B26" s="242" t="s">
        <v>272</v>
      </c>
      <c r="C26" s="243"/>
      <c r="D26" s="267"/>
      <c r="E26" s="244" t="s">
        <v>254</v>
      </c>
      <c r="F26" s="261"/>
      <c r="G26" s="246">
        <v>2.9400000000000004</v>
      </c>
      <c r="H26" s="247">
        <v>6.65</v>
      </c>
      <c r="I26" s="246">
        <f t="shared" si="0"/>
        <v>4.7949999999999999</v>
      </c>
      <c r="J26" s="248"/>
      <c r="K26" s="246">
        <v>9.7100000000000009</v>
      </c>
      <c r="L26" s="246">
        <v>8.5500000000000007</v>
      </c>
      <c r="M26" s="246">
        <v>5.5</v>
      </c>
      <c r="N26" s="246">
        <v>6.58</v>
      </c>
      <c r="O26" s="249">
        <f t="shared" si="1"/>
        <v>8.0950000000000006</v>
      </c>
      <c r="P26" s="250"/>
      <c r="Q26" s="246">
        <v>7.1</v>
      </c>
      <c r="R26" s="246">
        <v>7.95</v>
      </c>
      <c r="S26" s="246">
        <v>5.58</v>
      </c>
      <c r="T26" s="249">
        <f t="shared" si="2"/>
        <v>6.8766666666666678</v>
      </c>
      <c r="U26" s="251"/>
      <c r="V26" s="252">
        <f t="shared" si="3"/>
        <v>6.5888888888888895</v>
      </c>
      <c r="W26" s="253"/>
      <c r="X26" s="254">
        <v>5.6333333333333337</v>
      </c>
      <c r="Y26" s="255">
        <v>4.5999999999999996</v>
      </c>
      <c r="Z26" s="256">
        <v>6.4</v>
      </c>
      <c r="AA26" s="253"/>
      <c r="AB26" s="257">
        <f t="shared" si="4"/>
        <v>6.4933333333333332</v>
      </c>
      <c r="AC26" s="263"/>
    </row>
    <row r="27" spans="1:29" s="241" customFormat="1">
      <c r="B27" s="242" t="s">
        <v>273</v>
      </c>
      <c r="C27" s="243" t="s">
        <v>245</v>
      </c>
      <c r="D27" s="243" t="s">
        <v>246</v>
      </c>
      <c r="E27" s="244" t="s">
        <v>249</v>
      </c>
      <c r="F27" s="261"/>
      <c r="G27" s="246">
        <v>3.12</v>
      </c>
      <c r="H27" s="247">
        <v>5.34</v>
      </c>
      <c r="I27" s="246">
        <f t="shared" si="0"/>
        <v>4.2300000000000004</v>
      </c>
      <c r="J27" s="248"/>
      <c r="K27" s="246">
        <v>9.39</v>
      </c>
      <c r="L27" s="246">
        <v>8.41</v>
      </c>
      <c r="M27" s="246">
        <v>2.0700000000000003</v>
      </c>
      <c r="N27" s="246">
        <v>9.18</v>
      </c>
      <c r="O27" s="249">
        <f t="shared" si="1"/>
        <v>7.2065000000000001</v>
      </c>
      <c r="P27" s="250"/>
      <c r="Q27" s="246">
        <v>5.68</v>
      </c>
      <c r="R27" s="246">
        <v>8.02</v>
      </c>
      <c r="S27" s="246">
        <v>7.15</v>
      </c>
      <c r="T27" s="249">
        <f t="shared" si="2"/>
        <v>6.95</v>
      </c>
      <c r="U27" s="251"/>
      <c r="V27" s="252">
        <f t="shared" si="3"/>
        <v>6.1288333333333336</v>
      </c>
      <c r="W27" s="253"/>
      <c r="X27" s="254">
        <v>9.2666666666666657</v>
      </c>
      <c r="Y27" s="255">
        <v>6.2</v>
      </c>
      <c r="Z27" s="256">
        <v>8.6</v>
      </c>
      <c r="AA27" s="253"/>
      <c r="AB27" s="257">
        <f t="shared" si="4"/>
        <v>6.4426166666666669</v>
      </c>
      <c r="AC27" s="258"/>
    </row>
    <row r="28" spans="1:29" s="241" customFormat="1">
      <c r="A28" s="260"/>
      <c r="B28" s="242" t="s">
        <v>274</v>
      </c>
      <c r="C28" s="243" t="s">
        <v>245</v>
      </c>
      <c r="D28" s="243" t="s">
        <v>246</v>
      </c>
      <c r="E28" s="244" t="s">
        <v>256</v>
      </c>
      <c r="F28" s="245"/>
      <c r="G28" s="246">
        <v>9.7899999999999991</v>
      </c>
      <c r="H28" s="247">
        <v>7.29</v>
      </c>
      <c r="I28" s="246">
        <f t="shared" si="0"/>
        <v>8.5399999999999991</v>
      </c>
      <c r="J28" s="248"/>
      <c r="K28" s="246">
        <v>5.55</v>
      </c>
      <c r="L28" s="246">
        <v>5.37</v>
      </c>
      <c r="M28" s="246">
        <v>1.5500000000000007</v>
      </c>
      <c r="N28" s="246">
        <v>3.91</v>
      </c>
      <c r="O28" s="249">
        <f t="shared" si="1"/>
        <v>4.4050000000000002</v>
      </c>
      <c r="P28" s="250"/>
      <c r="Q28" s="246">
        <v>4</v>
      </c>
      <c r="R28" s="246">
        <v>6.1899999999999995</v>
      </c>
      <c r="S28" s="246">
        <v>5.45</v>
      </c>
      <c r="T28" s="249">
        <f t="shared" si="2"/>
        <v>5.2133333333333338</v>
      </c>
      <c r="U28" s="262"/>
      <c r="V28" s="252">
        <f t="shared" si="3"/>
        <v>6.052777777777778</v>
      </c>
      <c r="W28" s="253"/>
      <c r="X28" s="254">
        <v>9.9333333333333336</v>
      </c>
      <c r="Y28" s="255">
        <v>8.6999999999999993</v>
      </c>
      <c r="Z28" s="256">
        <v>9.6</v>
      </c>
      <c r="AA28" s="253"/>
      <c r="AB28" s="257">
        <f t="shared" si="4"/>
        <v>6.440833333333333</v>
      </c>
      <c r="AC28" s="258"/>
    </row>
    <row r="29" spans="1:29" s="241" customFormat="1">
      <c r="B29" s="242" t="s">
        <v>275</v>
      </c>
      <c r="C29" s="243"/>
      <c r="D29" s="267"/>
      <c r="E29" s="244" t="s">
        <v>256</v>
      </c>
      <c r="F29" s="259"/>
      <c r="G29" s="246">
        <v>8.59</v>
      </c>
      <c r="H29" s="247">
        <v>5.82</v>
      </c>
      <c r="I29" s="246">
        <f t="shared" si="0"/>
        <v>7.2050000000000001</v>
      </c>
      <c r="J29" s="248"/>
      <c r="K29" s="246">
        <v>7.16</v>
      </c>
      <c r="L29" s="246">
        <v>7.59</v>
      </c>
      <c r="M29" s="246">
        <v>4.41</v>
      </c>
      <c r="N29" s="246">
        <v>6.42</v>
      </c>
      <c r="O29" s="249">
        <f t="shared" si="1"/>
        <v>6.5859999999999994</v>
      </c>
      <c r="P29" s="250"/>
      <c r="Q29" s="246">
        <v>5.98</v>
      </c>
      <c r="R29" s="246">
        <v>6.7</v>
      </c>
      <c r="S29" s="246">
        <v>5.12</v>
      </c>
      <c r="T29" s="249">
        <f t="shared" si="2"/>
        <v>5.9333333333333336</v>
      </c>
      <c r="U29" s="268"/>
      <c r="V29" s="252">
        <f t="shared" si="3"/>
        <v>6.5747777777777783</v>
      </c>
      <c r="W29" s="253"/>
      <c r="X29" s="254">
        <v>3</v>
      </c>
      <c r="Y29" s="255">
        <v>8.6999999999999993</v>
      </c>
      <c r="Z29" s="256">
        <v>7.2</v>
      </c>
      <c r="AA29" s="253"/>
      <c r="AB29" s="257">
        <f t="shared" si="4"/>
        <v>6.2172999999999998</v>
      </c>
      <c r="AC29" s="258"/>
    </row>
    <row r="30" spans="1:29" s="241" customFormat="1">
      <c r="A30" s="260"/>
      <c r="B30" s="242" t="s">
        <v>276</v>
      </c>
      <c r="C30" s="243"/>
      <c r="D30" s="243" t="s">
        <v>265</v>
      </c>
      <c r="E30" s="244" t="s">
        <v>249</v>
      </c>
      <c r="F30" s="261"/>
      <c r="G30" s="246">
        <v>4.41</v>
      </c>
      <c r="H30" s="247">
        <v>7.75</v>
      </c>
      <c r="I30" s="246">
        <f t="shared" si="0"/>
        <v>6.08</v>
      </c>
      <c r="J30" s="248"/>
      <c r="K30" s="246">
        <v>9.44</v>
      </c>
      <c r="L30" s="246">
        <v>6.17</v>
      </c>
      <c r="M30" s="246">
        <v>3.3499999999999996</v>
      </c>
      <c r="N30" s="246">
        <v>7.6400000000000006</v>
      </c>
      <c r="O30" s="249">
        <f t="shared" si="1"/>
        <v>6.6829999999999998</v>
      </c>
      <c r="P30" s="250"/>
      <c r="Q30" s="246">
        <v>5.24</v>
      </c>
      <c r="R30" s="246">
        <v>7.23</v>
      </c>
      <c r="S30" s="246">
        <v>6.16</v>
      </c>
      <c r="T30" s="249">
        <f t="shared" si="2"/>
        <v>6.2100000000000009</v>
      </c>
      <c r="U30" s="251"/>
      <c r="V30" s="252">
        <f t="shared" si="3"/>
        <v>6.3243333333333327</v>
      </c>
      <c r="W30" s="253"/>
      <c r="X30" s="254">
        <v>4.8666666666666671</v>
      </c>
      <c r="Y30" s="255">
        <v>1.8</v>
      </c>
      <c r="Z30" s="256">
        <v>6.6</v>
      </c>
      <c r="AA30" s="253"/>
      <c r="AB30" s="257">
        <f t="shared" si="4"/>
        <v>6.1785666666666659</v>
      </c>
      <c r="AC30" s="263"/>
    </row>
    <row r="31" spans="1:29" s="241" customFormat="1">
      <c r="A31" s="260"/>
      <c r="B31" s="242" t="s">
        <v>277</v>
      </c>
      <c r="C31" s="243" t="s">
        <v>245</v>
      </c>
      <c r="D31" s="243" t="s">
        <v>246</v>
      </c>
      <c r="E31" s="244" t="s">
        <v>254</v>
      </c>
      <c r="F31" s="261"/>
      <c r="G31" s="246">
        <v>1.2100000000000009</v>
      </c>
      <c r="H31" s="247">
        <v>6.38</v>
      </c>
      <c r="I31" s="246">
        <f t="shared" si="0"/>
        <v>3.7950000000000004</v>
      </c>
      <c r="J31" s="269"/>
      <c r="K31" s="246">
        <v>6.63</v>
      </c>
      <c r="L31" s="246">
        <v>8.83</v>
      </c>
      <c r="M31" s="246">
        <v>3.7800000000000002</v>
      </c>
      <c r="N31" s="246">
        <v>7.77</v>
      </c>
      <c r="O31" s="249">
        <f t="shared" si="1"/>
        <v>6.7444999999999995</v>
      </c>
      <c r="P31" s="270"/>
      <c r="Q31" s="246">
        <v>7.8900000000000006</v>
      </c>
      <c r="R31" s="246">
        <v>6.77</v>
      </c>
      <c r="S31" s="246">
        <v>6.98</v>
      </c>
      <c r="T31" s="249">
        <f t="shared" si="2"/>
        <v>7.2133333333333338</v>
      </c>
      <c r="U31" s="251"/>
      <c r="V31" s="252">
        <f t="shared" si="3"/>
        <v>5.9176111111111114</v>
      </c>
      <c r="W31" s="271"/>
      <c r="X31" s="254">
        <v>8.1666666666666661</v>
      </c>
      <c r="Y31" s="255">
        <v>8.6999999999999993</v>
      </c>
      <c r="Z31" s="256">
        <v>8.6</v>
      </c>
      <c r="AA31" s="253"/>
      <c r="AB31" s="257">
        <f t="shared" si="4"/>
        <v>6.1425166666666664</v>
      </c>
      <c r="AC31" s="263"/>
    </row>
    <row r="32" spans="1:29" s="241" customFormat="1">
      <c r="A32" s="260"/>
      <c r="B32" s="242" t="s">
        <v>278</v>
      </c>
      <c r="C32" s="243" t="s">
        <v>245</v>
      </c>
      <c r="D32" s="243" t="s">
        <v>265</v>
      </c>
      <c r="E32" s="244" t="s">
        <v>249</v>
      </c>
      <c r="F32" s="261"/>
      <c r="G32" s="246">
        <v>2.0700000000000003</v>
      </c>
      <c r="H32" s="247">
        <v>4.28</v>
      </c>
      <c r="I32" s="246">
        <f t="shared" si="0"/>
        <v>3.1750000000000003</v>
      </c>
      <c r="J32" s="248"/>
      <c r="K32" s="246">
        <v>8.620000000000001</v>
      </c>
      <c r="L32" s="246">
        <v>8.49</v>
      </c>
      <c r="M32" s="246">
        <v>5.28</v>
      </c>
      <c r="N32" s="246">
        <v>7.35</v>
      </c>
      <c r="O32" s="249">
        <f t="shared" si="1"/>
        <v>7.6760000000000002</v>
      </c>
      <c r="P32" s="250"/>
      <c r="Q32" s="246">
        <v>6.15</v>
      </c>
      <c r="R32" s="246">
        <v>8.39</v>
      </c>
      <c r="S32" s="246">
        <v>6.52</v>
      </c>
      <c r="T32" s="249">
        <f t="shared" si="2"/>
        <v>7.0200000000000005</v>
      </c>
      <c r="U32" s="262"/>
      <c r="V32" s="252">
        <f t="shared" si="3"/>
        <v>5.9570000000000007</v>
      </c>
      <c r="W32" s="253"/>
      <c r="X32" s="254">
        <v>7.7333333333333343</v>
      </c>
      <c r="Y32" s="255">
        <v>7.6</v>
      </c>
      <c r="Z32" s="256">
        <v>9.1999999999999993</v>
      </c>
      <c r="AA32" s="253"/>
      <c r="AB32" s="257">
        <f t="shared" si="4"/>
        <v>6.1346333333333334</v>
      </c>
      <c r="AC32" s="263"/>
    </row>
    <row r="33" spans="1:29" s="241" customFormat="1">
      <c r="B33" s="242" t="s">
        <v>279</v>
      </c>
      <c r="C33" s="243"/>
      <c r="D33" s="243"/>
      <c r="E33" s="244" t="s">
        <v>247</v>
      </c>
      <c r="F33" s="234"/>
      <c r="G33" s="246">
        <v>4.1399999999999997</v>
      </c>
      <c r="H33" s="247">
        <v>4.51</v>
      </c>
      <c r="I33" s="246">
        <f t="shared" si="0"/>
        <v>4.3249999999999993</v>
      </c>
      <c r="J33" s="248"/>
      <c r="K33" s="246">
        <v>9.7799999999999994</v>
      </c>
      <c r="L33" s="246">
        <v>8.76</v>
      </c>
      <c r="M33" s="246">
        <v>2.5499999999999998</v>
      </c>
      <c r="N33" s="246">
        <v>8.09</v>
      </c>
      <c r="O33" s="249">
        <f t="shared" si="1"/>
        <v>7.5309999999999988</v>
      </c>
      <c r="P33" s="250"/>
      <c r="Q33" s="246">
        <v>4.4400000000000004</v>
      </c>
      <c r="R33" s="246">
        <v>7.46</v>
      </c>
      <c r="S33" s="246">
        <v>7.52</v>
      </c>
      <c r="T33" s="249">
        <f t="shared" si="2"/>
        <v>6.4733333333333336</v>
      </c>
      <c r="U33" s="251"/>
      <c r="V33" s="252">
        <f t="shared" si="3"/>
        <v>6.1097777777777766</v>
      </c>
      <c r="W33" s="253"/>
      <c r="X33" s="254">
        <v>5.9666666666666668</v>
      </c>
      <c r="Y33" s="255">
        <v>8.6999999999999993</v>
      </c>
      <c r="Z33" s="256">
        <v>8</v>
      </c>
      <c r="AA33" s="253"/>
      <c r="AB33" s="257">
        <f t="shared" si="4"/>
        <v>6.0954666666666659</v>
      </c>
      <c r="AC33" s="258"/>
    </row>
    <row r="34" spans="1:29" s="241" customFormat="1">
      <c r="A34" s="260"/>
      <c r="B34" s="242" t="s">
        <v>280</v>
      </c>
      <c r="C34" s="243"/>
      <c r="D34" s="243" t="s">
        <v>265</v>
      </c>
      <c r="E34" s="244" t="s">
        <v>247</v>
      </c>
      <c r="F34" s="261"/>
      <c r="G34" s="246">
        <v>4.87</v>
      </c>
      <c r="H34" s="247">
        <v>5.61</v>
      </c>
      <c r="I34" s="246">
        <f t="shared" si="0"/>
        <v>5.24</v>
      </c>
      <c r="J34" s="248"/>
      <c r="K34" s="246">
        <v>7.42</v>
      </c>
      <c r="L34" s="246">
        <v>7.42</v>
      </c>
      <c r="M34" s="246">
        <v>1.9000000000000004</v>
      </c>
      <c r="N34" s="246">
        <v>8.4700000000000006</v>
      </c>
      <c r="O34" s="249">
        <f t="shared" si="1"/>
        <v>6.0925000000000002</v>
      </c>
      <c r="P34" s="250"/>
      <c r="Q34" s="246">
        <v>6.27</v>
      </c>
      <c r="R34" s="246">
        <v>7.49</v>
      </c>
      <c r="S34" s="246">
        <v>6.67</v>
      </c>
      <c r="T34" s="249">
        <f t="shared" si="2"/>
        <v>6.81</v>
      </c>
      <c r="U34" s="251"/>
      <c r="V34" s="252">
        <f t="shared" si="3"/>
        <v>6.0474999999999994</v>
      </c>
      <c r="W34" s="253"/>
      <c r="X34" s="254">
        <v>5.6333333333333337</v>
      </c>
      <c r="Y34" s="255">
        <v>9.6999999999999993</v>
      </c>
      <c r="Z34" s="256">
        <v>7.4</v>
      </c>
      <c r="AA34" s="253"/>
      <c r="AB34" s="257">
        <f t="shared" si="4"/>
        <v>6.0060833333333337</v>
      </c>
      <c r="AC34" s="258"/>
    </row>
    <row r="35" spans="1:29" s="241" customFormat="1">
      <c r="A35" s="260"/>
      <c r="B35" s="242" t="s">
        <v>281</v>
      </c>
      <c r="C35" s="243"/>
      <c r="D35" s="243"/>
      <c r="E35" s="244" t="s">
        <v>247</v>
      </c>
      <c r="F35" s="264"/>
      <c r="G35" s="246">
        <v>2.5</v>
      </c>
      <c r="H35" s="247">
        <v>4.74</v>
      </c>
      <c r="I35" s="246">
        <f t="shared" si="0"/>
        <v>3.62</v>
      </c>
      <c r="J35" s="248"/>
      <c r="K35" s="246">
        <v>9.43</v>
      </c>
      <c r="L35" s="246">
        <v>8.98</v>
      </c>
      <c r="M35" s="246">
        <v>3.2300000000000004</v>
      </c>
      <c r="N35" s="246">
        <v>6.87</v>
      </c>
      <c r="O35" s="249">
        <f t="shared" si="1"/>
        <v>7.5944999999999991</v>
      </c>
      <c r="P35" s="250"/>
      <c r="Q35" s="246">
        <v>6.51</v>
      </c>
      <c r="R35" s="246">
        <v>7</v>
      </c>
      <c r="S35" s="246">
        <v>8.02</v>
      </c>
      <c r="T35" s="249">
        <f t="shared" si="2"/>
        <v>7.1766666666666667</v>
      </c>
      <c r="U35" s="262"/>
      <c r="V35" s="252">
        <f t="shared" si="3"/>
        <v>6.1303888888888887</v>
      </c>
      <c r="W35" s="253"/>
      <c r="X35" s="254">
        <v>4.5333333333333332</v>
      </c>
      <c r="Y35" s="255">
        <v>8.6999999999999993</v>
      </c>
      <c r="Z35" s="256">
        <v>6.2</v>
      </c>
      <c r="AA35" s="253"/>
      <c r="AB35" s="257">
        <f t="shared" si="4"/>
        <v>5.9706833333333336</v>
      </c>
      <c r="AC35" s="263"/>
    </row>
    <row r="36" spans="1:29" s="241" customFormat="1">
      <c r="A36" s="260"/>
      <c r="B36" s="242" t="s">
        <v>282</v>
      </c>
      <c r="C36" s="243"/>
      <c r="D36" s="243"/>
      <c r="E36" s="244" t="s">
        <v>249</v>
      </c>
      <c r="F36" s="261"/>
      <c r="G36" s="246">
        <v>2.2800000000000002</v>
      </c>
      <c r="H36" s="247">
        <v>6.73</v>
      </c>
      <c r="I36" s="246">
        <f t="shared" si="0"/>
        <v>4.5050000000000008</v>
      </c>
      <c r="J36" s="248"/>
      <c r="K36" s="246">
        <v>8.5399999999999991</v>
      </c>
      <c r="L36" s="246">
        <v>8.61</v>
      </c>
      <c r="M36" s="246">
        <v>4.17</v>
      </c>
      <c r="N36" s="246">
        <v>7.62</v>
      </c>
      <c r="O36" s="249">
        <f t="shared" si="1"/>
        <v>7.4260000000000002</v>
      </c>
      <c r="P36" s="250"/>
      <c r="Q36" s="246">
        <v>6.59</v>
      </c>
      <c r="R36" s="246">
        <v>7.99</v>
      </c>
      <c r="S36" s="246">
        <v>5.36</v>
      </c>
      <c r="T36" s="249">
        <f t="shared" si="2"/>
        <v>6.6466666666666674</v>
      </c>
      <c r="U36" s="251"/>
      <c r="V36" s="252">
        <f t="shared" si="3"/>
        <v>6.1925555555555567</v>
      </c>
      <c r="W36" s="253"/>
      <c r="X36" s="254">
        <v>3.7666666666666666</v>
      </c>
      <c r="Y36" s="255">
        <v>6.2</v>
      </c>
      <c r="Z36" s="256">
        <v>6.7</v>
      </c>
      <c r="AA36" s="253"/>
      <c r="AB36" s="257">
        <f t="shared" si="4"/>
        <v>5.9499666666666666</v>
      </c>
      <c r="AC36" s="258"/>
    </row>
    <row r="37" spans="1:29" s="241" customFormat="1">
      <c r="A37" s="260"/>
      <c r="B37" s="242" t="s">
        <v>283</v>
      </c>
      <c r="C37" s="243"/>
      <c r="D37" s="267"/>
      <c r="E37" s="244" t="s">
        <v>256</v>
      </c>
      <c r="F37" s="261"/>
      <c r="G37" s="246">
        <v>8.4499999999999993</v>
      </c>
      <c r="H37" s="247">
        <v>6.25</v>
      </c>
      <c r="I37" s="246">
        <f t="shared" si="0"/>
        <v>7.35</v>
      </c>
      <c r="J37" s="248"/>
      <c r="K37" s="246">
        <v>7.3599999999999994</v>
      </c>
      <c r="L37" s="246">
        <v>6.88</v>
      </c>
      <c r="M37" s="246">
        <v>3.5999999999999996</v>
      </c>
      <c r="N37" s="246">
        <v>6.62</v>
      </c>
      <c r="O37" s="249">
        <f t="shared" si="1"/>
        <v>6.2150000000000007</v>
      </c>
      <c r="P37" s="250"/>
      <c r="Q37" s="246">
        <v>4.0599999999999996</v>
      </c>
      <c r="R37" s="246">
        <v>5.15</v>
      </c>
      <c r="S37" s="246">
        <v>5.92</v>
      </c>
      <c r="T37" s="249">
        <f t="shared" si="2"/>
        <v>5.0433333333333339</v>
      </c>
      <c r="U37" s="251"/>
      <c r="V37" s="252">
        <f t="shared" si="3"/>
        <v>6.2027777777777784</v>
      </c>
      <c r="W37" s="253"/>
      <c r="X37" s="254">
        <v>3</v>
      </c>
      <c r="Y37" s="255">
        <v>0.2</v>
      </c>
      <c r="Z37" s="256">
        <v>5.5</v>
      </c>
      <c r="AA37" s="253"/>
      <c r="AB37" s="257">
        <f t="shared" si="4"/>
        <v>5.8824999999999994</v>
      </c>
      <c r="AC37" s="258"/>
    </row>
    <row r="38" spans="1:29" s="241" customFormat="1">
      <c r="A38" s="260"/>
      <c r="B38" s="242" t="s">
        <v>284</v>
      </c>
      <c r="C38" s="243"/>
      <c r="D38" s="267"/>
      <c r="E38" s="244" t="s">
        <v>249</v>
      </c>
      <c r="F38" s="259"/>
      <c r="G38" s="246">
        <v>4.05</v>
      </c>
      <c r="H38" s="247">
        <v>3.7699999999999996</v>
      </c>
      <c r="I38" s="246">
        <f t="shared" si="0"/>
        <v>3.9099999999999997</v>
      </c>
      <c r="J38" s="248"/>
      <c r="K38" s="246">
        <v>9.61</v>
      </c>
      <c r="L38" s="246">
        <v>7.18</v>
      </c>
      <c r="M38" s="246">
        <v>5.21</v>
      </c>
      <c r="N38" s="246">
        <v>6.34</v>
      </c>
      <c r="O38" s="249">
        <f t="shared" si="1"/>
        <v>7.4960000000000004</v>
      </c>
      <c r="P38" s="250"/>
      <c r="Q38" s="246">
        <v>6.7799999999999994</v>
      </c>
      <c r="R38" s="246">
        <v>7.09</v>
      </c>
      <c r="S38" s="246">
        <v>6.25</v>
      </c>
      <c r="T38" s="249">
        <f t="shared" si="2"/>
        <v>6.7066666666666661</v>
      </c>
      <c r="U38" s="251"/>
      <c r="V38" s="252">
        <f t="shared" si="3"/>
        <v>6.0375555555555556</v>
      </c>
      <c r="W38" s="253"/>
      <c r="X38" s="254">
        <v>3.7666666666666666</v>
      </c>
      <c r="Y38" s="255">
        <v>6.2</v>
      </c>
      <c r="Z38" s="256">
        <v>6.7</v>
      </c>
      <c r="AA38" s="253"/>
      <c r="AB38" s="257">
        <f t="shared" si="4"/>
        <v>5.8104666666666667</v>
      </c>
      <c r="AC38" s="258"/>
    </row>
    <row r="39" spans="1:29" s="241" customFormat="1">
      <c r="A39" s="260"/>
      <c r="B39" s="242" t="s">
        <v>285</v>
      </c>
      <c r="C39" s="243"/>
      <c r="D39" s="243"/>
      <c r="E39" s="244" t="s">
        <v>251</v>
      </c>
      <c r="F39" s="266"/>
      <c r="G39" s="246">
        <v>5.37</v>
      </c>
      <c r="H39" s="247">
        <v>4.8600000000000003</v>
      </c>
      <c r="I39" s="246">
        <f t="shared" si="0"/>
        <v>5.1150000000000002</v>
      </c>
      <c r="J39" s="248"/>
      <c r="K39" s="246">
        <v>6.8100000000000005</v>
      </c>
      <c r="L39" s="246">
        <v>7.32</v>
      </c>
      <c r="M39" s="246">
        <v>2.67</v>
      </c>
      <c r="N39" s="246">
        <v>4.7699999999999996</v>
      </c>
      <c r="O39" s="249">
        <f t="shared" si="1"/>
        <v>5.8514999999999997</v>
      </c>
      <c r="P39" s="250"/>
      <c r="Q39" s="246">
        <v>7.35</v>
      </c>
      <c r="R39" s="246">
        <v>7.3599999999999994</v>
      </c>
      <c r="S39" s="246">
        <v>4</v>
      </c>
      <c r="T39" s="249">
        <f t="shared" si="2"/>
        <v>6.2366666666666672</v>
      </c>
      <c r="U39" s="262"/>
      <c r="V39" s="252">
        <f t="shared" si="3"/>
        <v>5.7343888888888896</v>
      </c>
      <c r="W39" s="253"/>
      <c r="X39" s="254">
        <v>6.3000000000000007</v>
      </c>
      <c r="Y39" s="255">
        <v>8.6999999999999993</v>
      </c>
      <c r="Z39" s="256">
        <v>8.6</v>
      </c>
      <c r="AA39" s="253"/>
      <c r="AB39" s="257">
        <f t="shared" si="4"/>
        <v>5.7909499999999996</v>
      </c>
      <c r="AC39" s="258"/>
    </row>
    <row r="40" spans="1:29" s="241" customFormat="1">
      <c r="A40" s="260"/>
      <c r="B40" s="242" t="s">
        <v>286</v>
      </c>
      <c r="C40" s="243"/>
      <c r="D40" s="243"/>
      <c r="E40" s="244" t="s">
        <v>254</v>
      </c>
      <c r="F40" s="266"/>
      <c r="G40" s="246">
        <v>3.8899999999999997</v>
      </c>
      <c r="H40" s="247">
        <v>3.41</v>
      </c>
      <c r="I40" s="246">
        <f t="shared" si="0"/>
        <v>3.65</v>
      </c>
      <c r="J40" s="248"/>
      <c r="K40" s="246">
        <v>9.19</v>
      </c>
      <c r="L40" s="246">
        <v>8.1999999999999993</v>
      </c>
      <c r="M40" s="246">
        <v>5.3</v>
      </c>
      <c r="N40" s="246">
        <v>8.16</v>
      </c>
      <c r="O40" s="249">
        <f t="shared" si="1"/>
        <v>7.8194999999999997</v>
      </c>
      <c r="P40" s="250"/>
      <c r="Q40" s="246">
        <v>4.12</v>
      </c>
      <c r="R40" s="246">
        <v>7.26</v>
      </c>
      <c r="S40" s="246">
        <v>7.12</v>
      </c>
      <c r="T40" s="249">
        <f t="shared" si="2"/>
        <v>6.166666666666667</v>
      </c>
      <c r="U40" s="262"/>
      <c r="V40" s="252">
        <f t="shared" si="3"/>
        <v>5.8787222222222226</v>
      </c>
      <c r="W40" s="253"/>
      <c r="X40" s="254">
        <v>4.8666666666666671</v>
      </c>
      <c r="Y40" s="255">
        <v>1</v>
      </c>
      <c r="Z40" s="256">
        <v>5.6</v>
      </c>
      <c r="AA40" s="253"/>
      <c r="AB40" s="257">
        <f t="shared" si="4"/>
        <v>5.7775166666666671</v>
      </c>
      <c r="AC40" s="258"/>
    </row>
    <row r="41" spans="1:29" s="241" customFormat="1">
      <c r="A41" s="260"/>
      <c r="B41" s="242" t="s">
        <v>287</v>
      </c>
      <c r="C41" s="243"/>
      <c r="D41" s="243" t="s">
        <v>265</v>
      </c>
      <c r="E41" s="244" t="s">
        <v>256</v>
      </c>
      <c r="F41" s="266"/>
      <c r="G41" s="246">
        <v>5.58</v>
      </c>
      <c r="H41" s="247">
        <v>4.6100000000000003</v>
      </c>
      <c r="I41" s="246">
        <f t="shared" si="0"/>
        <v>5.0950000000000006</v>
      </c>
      <c r="J41" s="248"/>
      <c r="K41" s="246">
        <v>7.74</v>
      </c>
      <c r="L41" s="246">
        <v>6.26</v>
      </c>
      <c r="M41" s="246">
        <v>2.92</v>
      </c>
      <c r="N41" s="246">
        <v>7.32</v>
      </c>
      <c r="O41" s="249">
        <f t="shared" si="1"/>
        <v>5.9960000000000004</v>
      </c>
      <c r="P41" s="250"/>
      <c r="Q41" s="246">
        <v>5.71</v>
      </c>
      <c r="R41" s="246">
        <v>6.82</v>
      </c>
      <c r="S41" s="246">
        <v>9.02</v>
      </c>
      <c r="T41" s="249">
        <f t="shared" si="2"/>
        <v>7.1833333333333336</v>
      </c>
      <c r="U41" s="262"/>
      <c r="V41" s="252">
        <f t="shared" si="3"/>
        <v>6.0914444444444449</v>
      </c>
      <c r="W41" s="253"/>
      <c r="X41" s="254">
        <v>2.6666666666666665</v>
      </c>
      <c r="Y41" s="272">
        <v>9.6999999999999993</v>
      </c>
      <c r="Z41" s="256">
        <v>6.5</v>
      </c>
      <c r="AA41" s="253"/>
      <c r="AB41" s="257">
        <f t="shared" si="4"/>
        <v>5.748966666666667</v>
      </c>
      <c r="AC41" s="258"/>
    </row>
    <row r="42" spans="1:29" s="241" customFormat="1">
      <c r="A42" s="260"/>
      <c r="B42" s="242" t="s">
        <v>288</v>
      </c>
      <c r="C42" s="243"/>
      <c r="D42" s="243"/>
      <c r="E42" s="244" t="s">
        <v>254</v>
      </c>
      <c r="F42" s="259"/>
      <c r="G42" s="246">
        <v>3.09</v>
      </c>
      <c r="H42" s="247">
        <v>3.5300000000000002</v>
      </c>
      <c r="I42" s="246">
        <f t="shared" si="0"/>
        <v>3.31</v>
      </c>
      <c r="J42" s="248"/>
      <c r="K42" s="246">
        <v>9.1300000000000008</v>
      </c>
      <c r="L42" s="246">
        <v>8.370000000000001</v>
      </c>
      <c r="M42" s="246">
        <v>7.7799999999999994</v>
      </c>
      <c r="N42" s="246">
        <v>6.7</v>
      </c>
      <c r="O42" s="249">
        <f t="shared" si="1"/>
        <v>8.4050000000000011</v>
      </c>
      <c r="P42" s="250"/>
      <c r="Q42" s="246">
        <v>5.61</v>
      </c>
      <c r="R42" s="246">
        <v>7.2799999999999994</v>
      </c>
      <c r="S42" s="246">
        <v>6.12</v>
      </c>
      <c r="T42" s="249">
        <f t="shared" si="2"/>
        <v>6.3366666666666669</v>
      </c>
      <c r="U42" s="262"/>
      <c r="V42" s="252">
        <f t="shared" si="3"/>
        <v>6.0172222222222231</v>
      </c>
      <c r="W42" s="253"/>
      <c r="X42" s="254">
        <v>2.3333333333333335</v>
      </c>
      <c r="Y42" s="255">
        <v>1.8</v>
      </c>
      <c r="Z42" s="256">
        <v>3.9</v>
      </c>
      <c r="AA42" s="253"/>
      <c r="AB42" s="257">
        <f t="shared" si="4"/>
        <v>5.6488333333333332</v>
      </c>
      <c r="AC42" s="258"/>
    </row>
    <row r="43" spans="1:29" s="241" customFormat="1">
      <c r="A43" s="260"/>
      <c r="B43" s="242" t="s">
        <v>289</v>
      </c>
      <c r="C43" s="243"/>
      <c r="D43" s="267"/>
      <c r="E43" s="244" t="s">
        <v>268</v>
      </c>
      <c r="F43" s="245"/>
      <c r="G43" s="246">
        <v>7.51</v>
      </c>
      <c r="H43" s="247">
        <v>4.57</v>
      </c>
      <c r="I43" s="246">
        <f t="shared" si="0"/>
        <v>6.04</v>
      </c>
      <c r="J43" s="248"/>
      <c r="K43" s="246">
        <v>5.04</v>
      </c>
      <c r="L43" s="246">
        <v>5.9</v>
      </c>
      <c r="M43" s="246">
        <v>3.58</v>
      </c>
      <c r="N43" s="246">
        <v>3.01</v>
      </c>
      <c r="O43" s="249">
        <f t="shared" si="1"/>
        <v>4.8745000000000003</v>
      </c>
      <c r="P43" s="250"/>
      <c r="Q43" s="246">
        <v>6</v>
      </c>
      <c r="R43" s="246">
        <v>6.4399999999999995</v>
      </c>
      <c r="S43" s="246">
        <v>4.83</v>
      </c>
      <c r="T43" s="249">
        <f t="shared" si="2"/>
        <v>5.7566666666666668</v>
      </c>
      <c r="U43" s="251"/>
      <c r="V43" s="252">
        <f t="shared" si="3"/>
        <v>5.5570555555555563</v>
      </c>
      <c r="W43" s="253"/>
      <c r="X43" s="254">
        <v>6.4</v>
      </c>
      <c r="Y43" s="255">
        <v>9.3000000000000007</v>
      </c>
      <c r="Z43" s="256">
        <v>7.3</v>
      </c>
      <c r="AA43" s="253"/>
      <c r="AB43" s="257">
        <f t="shared" si="4"/>
        <v>5.641350000000001</v>
      </c>
      <c r="AC43" s="258"/>
    </row>
    <row r="44" spans="1:29" s="241" customFormat="1">
      <c r="A44" s="260"/>
      <c r="B44" s="242" t="s">
        <v>290</v>
      </c>
      <c r="C44" s="243" t="s">
        <v>245</v>
      </c>
      <c r="D44" s="243" t="s">
        <v>246</v>
      </c>
      <c r="E44" s="244" t="s">
        <v>256</v>
      </c>
      <c r="F44" s="261"/>
      <c r="G44" s="246">
        <v>8.0299999999999994</v>
      </c>
      <c r="H44" s="247">
        <v>4.37</v>
      </c>
      <c r="I44" s="246">
        <f t="shared" si="0"/>
        <v>6.1999999999999993</v>
      </c>
      <c r="J44" s="248"/>
      <c r="K44" s="246">
        <v>5.55</v>
      </c>
      <c r="L44" s="246">
        <v>5.32</v>
      </c>
      <c r="M44" s="246">
        <v>1.9100000000000001</v>
      </c>
      <c r="N44" s="246">
        <v>5.85</v>
      </c>
      <c r="O44" s="249">
        <f t="shared" si="1"/>
        <v>4.5745000000000005</v>
      </c>
      <c r="P44" s="250"/>
      <c r="Q44" s="246">
        <v>5.07</v>
      </c>
      <c r="R44" s="246">
        <v>5.5</v>
      </c>
      <c r="S44" s="246">
        <v>5.7</v>
      </c>
      <c r="T44" s="249">
        <f t="shared" si="2"/>
        <v>5.4233333333333329</v>
      </c>
      <c r="U44" s="251"/>
      <c r="V44" s="252">
        <f t="shared" si="3"/>
        <v>5.399277777777777</v>
      </c>
      <c r="W44" s="253"/>
      <c r="X44" s="254">
        <v>7.7333333333333343</v>
      </c>
      <c r="Y44" s="255">
        <v>9.6999999999999993</v>
      </c>
      <c r="Z44" s="256">
        <v>9.3000000000000007</v>
      </c>
      <c r="AA44" s="253"/>
      <c r="AB44" s="257">
        <f t="shared" si="4"/>
        <v>5.6326833333333326</v>
      </c>
      <c r="AC44" s="258"/>
    </row>
    <row r="45" spans="1:29" s="241" customFormat="1">
      <c r="B45" s="242" t="s">
        <v>291</v>
      </c>
      <c r="C45" s="243"/>
      <c r="D45" s="243"/>
      <c r="E45" s="244" t="s">
        <v>249</v>
      </c>
      <c r="F45" s="266"/>
      <c r="G45" s="246">
        <v>3.7300000000000004</v>
      </c>
      <c r="H45" s="247">
        <v>3.0599999999999996</v>
      </c>
      <c r="I45" s="246">
        <f t="shared" si="0"/>
        <v>3.395</v>
      </c>
      <c r="J45" s="248"/>
      <c r="K45" s="246">
        <v>7.92</v>
      </c>
      <c r="L45" s="246">
        <v>7.13</v>
      </c>
      <c r="M45" s="246">
        <v>5.39</v>
      </c>
      <c r="N45" s="246">
        <v>7</v>
      </c>
      <c r="O45" s="249">
        <f t="shared" si="1"/>
        <v>6.9649999999999999</v>
      </c>
      <c r="P45" s="250"/>
      <c r="Q45" s="246">
        <v>7.01</v>
      </c>
      <c r="R45" s="246">
        <v>7.77</v>
      </c>
      <c r="S45" s="246">
        <v>6.13</v>
      </c>
      <c r="T45" s="249">
        <f t="shared" si="2"/>
        <v>6.97</v>
      </c>
      <c r="U45" s="251"/>
      <c r="V45" s="252">
        <f t="shared" si="3"/>
        <v>5.7766666666666664</v>
      </c>
      <c r="W45" s="253"/>
      <c r="X45" s="254">
        <v>4.2</v>
      </c>
      <c r="Y45" s="255">
        <v>3.1</v>
      </c>
      <c r="Z45" s="256">
        <v>5.0999999999999996</v>
      </c>
      <c r="AA45" s="271"/>
      <c r="AB45" s="257">
        <f t="shared" si="4"/>
        <v>5.6189999999999998</v>
      </c>
      <c r="AC45" s="258"/>
    </row>
    <row r="46" spans="1:29" s="241" customFormat="1">
      <c r="A46" s="260"/>
      <c r="B46" s="242" t="s">
        <v>292</v>
      </c>
      <c r="C46" s="243" t="s">
        <v>245</v>
      </c>
      <c r="D46" s="243" t="s">
        <v>246</v>
      </c>
      <c r="E46" s="244" t="s">
        <v>268</v>
      </c>
      <c r="F46" s="259"/>
      <c r="G46" s="246">
        <v>6.8</v>
      </c>
      <c r="H46" s="247">
        <v>6.83</v>
      </c>
      <c r="I46" s="246">
        <f t="shared" si="0"/>
        <v>6.8149999999999995</v>
      </c>
      <c r="J46" s="248"/>
      <c r="K46" s="246">
        <v>4.04</v>
      </c>
      <c r="L46" s="246">
        <v>3.74</v>
      </c>
      <c r="M46" s="246">
        <v>4.6500000000000004</v>
      </c>
      <c r="N46" s="246">
        <v>3.54</v>
      </c>
      <c r="O46" s="249">
        <f t="shared" si="1"/>
        <v>4.0625</v>
      </c>
      <c r="P46" s="250"/>
      <c r="Q46" s="246">
        <v>5.32</v>
      </c>
      <c r="R46" s="246">
        <v>5.81</v>
      </c>
      <c r="S46" s="246">
        <v>4.21</v>
      </c>
      <c r="T46" s="249">
        <f t="shared" si="2"/>
        <v>5.1133333333333333</v>
      </c>
      <c r="U46" s="251"/>
      <c r="V46" s="252">
        <f t="shared" si="3"/>
        <v>5.3302777777777779</v>
      </c>
      <c r="W46" s="253"/>
      <c r="X46" s="254">
        <v>8.1666666666666661</v>
      </c>
      <c r="Y46" s="255">
        <v>8.6999999999999993</v>
      </c>
      <c r="Z46" s="256">
        <v>8.6</v>
      </c>
      <c r="AA46" s="253"/>
      <c r="AB46" s="257">
        <f t="shared" si="4"/>
        <v>5.6139166666666664</v>
      </c>
      <c r="AC46" s="258"/>
    </row>
    <row r="47" spans="1:29" s="241" customFormat="1">
      <c r="A47" s="260"/>
      <c r="B47" s="242" t="s">
        <v>293</v>
      </c>
      <c r="C47" s="243"/>
      <c r="D47" s="243"/>
      <c r="E47" s="244" t="s">
        <v>249</v>
      </c>
      <c r="F47" s="266"/>
      <c r="G47" s="246">
        <v>2.9800000000000004</v>
      </c>
      <c r="H47" s="247">
        <v>4.5999999999999996</v>
      </c>
      <c r="I47" s="246">
        <f t="shared" si="0"/>
        <v>3.79</v>
      </c>
      <c r="J47" s="248"/>
      <c r="K47" s="246">
        <v>9.6999999999999993</v>
      </c>
      <c r="L47" s="246">
        <v>7.17</v>
      </c>
      <c r="M47" s="246">
        <v>2.04</v>
      </c>
      <c r="N47" s="246">
        <v>7.16</v>
      </c>
      <c r="O47" s="249">
        <f t="shared" si="1"/>
        <v>6.7724999999999982</v>
      </c>
      <c r="P47" s="250"/>
      <c r="Q47" s="246">
        <v>4.63</v>
      </c>
      <c r="R47" s="246">
        <v>7.41</v>
      </c>
      <c r="S47" s="246">
        <v>6.9700000000000006</v>
      </c>
      <c r="T47" s="249">
        <f t="shared" si="2"/>
        <v>6.336666666666666</v>
      </c>
      <c r="U47" s="251"/>
      <c r="V47" s="252">
        <f t="shared" si="3"/>
        <v>5.633055555555555</v>
      </c>
      <c r="W47" s="253"/>
      <c r="X47" s="254">
        <v>5.2</v>
      </c>
      <c r="Y47" s="255">
        <v>6.2</v>
      </c>
      <c r="Z47" s="256">
        <v>8.1</v>
      </c>
      <c r="AA47" s="253"/>
      <c r="AB47" s="257">
        <f t="shared" si="4"/>
        <v>5.5897499999999987</v>
      </c>
      <c r="AC47" s="258"/>
    </row>
    <row r="48" spans="1:29" s="241" customFormat="1">
      <c r="A48" s="260"/>
      <c r="B48" s="242" t="s">
        <v>294</v>
      </c>
      <c r="C48" s="243" t="s">
        <v>245</v>
      </c>
      <c r="D48" s="243" t="s">
        <v>265</v>
      </c>
      <c r="E48" s="244" t="s">
        <v>251</v>
      </c>
      <c r="F48" s="266"/>
      <c r="G48" s="246">
        <v>5.09</v>
      </c>
      <c r="H48" s="247">
        <v>7.7200000000000006</v>
      </c>
      <c r="I48" s="246">
        <f t="shared" si="0"/>
        <v>6.4050000000000002</v>
      </c>
      <c r="J48" s="248"/>
      <c r="K48" s="246">
        <v>4.49</v>
      </c>
      <c r="L48" s="246">
        <v>3.5999999999999996</v>
      </c>
      <c r="M48" s="246">
        <v>4.21</v>
      </c>
      <c r="N48" s="246">
        <v>3.0700000000000003</v>
      </c>
      <c r="O48" s="249">
        <f t="shared" si="1"/>
        <v>4.0374999999999996</v>
      </c>
      <c r="P48" s="250"/>
      <c r="Q48" s="246">
        <v>7.7</v>
      </c>
      <c r="R48" s="246">
        <v>5.67</v>
      </c>
      <c r="S48" s="246">
        <v>4.1399999999999997</v>
      </c>
      <c r="T48" s="249">
        <f t="shared" si="2"/>
        <v>5.8366666666666669</v>
      </c>
      <c r="U48" s="251"/>
      <c r="V48" s="252">
        <f t="shared" si="3"/>
        <v>5.426388888888888</v>
      </c>
      <c r="W48" s="253"/>
      <c r="X48" s="254">
        <v>6.6333333333333337</v>
      </c>
      <c r="Y48" s="255">
        <v>6.2</v>
      </c>
      <c r="Z48" s="256">
        <v>8.6</v>
      </c>
      <c r="AA48" s="253"/>
      <c r="AB48" s="257">
        <f t="shared" si="4"/>
        <v>5.5470833333333331</v>
      </c>
      <c r="AC48" s="258"/>
    </row>
    <row r="49" spans="1:29" s="241" customFormat="1">
      <c r="B49" s="242" t="s">
        <v>295</v>
      </c>
      <c r="C49" s="243"/>
      <c r="D49" s="243"/>
      <c r="E49" s="244" t="s">
        <v>256</v>
      </c>
      <c r="F49" s="261"/>
      <c r="G49" s="246">
        <v>3.59</v>
      </c>
      <c r="H49" s="247">
        <v>4.26</v>
      </c>
      <c r="I49" s="246">
        <f t="shared" si="0"/>
        <v>3.9249999999999998</v>
      </c>
      <c r="J49" s="248"/>
      <c r="K49" s="246">
        <v>7.4</v>
      </c>
      <c r="L49" s="246">
        <v>7.52</v>
      </c>
      <c r="M49" s="246">
        <v>1.6799999999999997</v>
      </c>
      <c r="N49" s="246">
        <v>6.91</v>
      </c>
      <c r="O49" s="249">
        <f t="shared" si="1"/>
        <v>5.9874999999999998</v>
      </c>
      <c r="P49" s="250"/>
      <c r="Q49" s="246">
        <v>7.62</v>
      </c>
      <c r="R49" s="246">
        <v>7.4399999999999995</v>
      </c>
      <c r="S49" s="246">
        <v>6</v>
      </c>
      <c r="T49" s="249">
        <f t="shared" si="2"/>
        <v>7.02</v>
      </c>
      <c r="U49" s="251"/>
      <c r="V49" s="252">
        <f t="shared" si="3"/>
        <v>5.6441666666666661</v>
      </c>
      <c r="W49" s="253"/>
      <c r="X49" s="254">
        <v>4.5333333333333332</v>
      </c>
      <c r="Y49" s="255">
        <v>6.2</v>
      </c>
      <c r="Z49" s="256">
        <v>5.7</v>
      </c>
      <c r="AA49" s="253"/>
      <c r="AB49" s="257">
        <f t="shared" si="4"/>
        <v>5.5330833333333329</v>
      </c>
      <c r="AC49" s="258"/>
    </row>
    <row r="50" spans="1:29" s="241" customFormat="1">
      <c r="A50" s="260"/>
      <c r="B50" s="242" t="s">
        <v>296</v>
      </c>
      <c r="C50" s="243"/>
      <c r="D50" s="243"/>
      <c r="E50" s="244" t="s">
        <v>249</v>
      </c>
      <c r="F50" s="261"/>
      <c r="G50" s="246">
        <v>3.29</v>
      </c>
      <c r="H50" s="247">
        <v>2.9000000000000004</v>
      </c>
      <c r="I50" s="246">
        <f t="shared" si="0"/>
        <v>3.0950000000000002</v>
      </c>
      <c r="J50" s="248"/>
      <c r="K50" s="246">
        <v>9.7100000000000009</v>
      </c>
      <c r="L50" s="246">
        <v>7.23</v>
      </c>
      <c r="M50" s="246">
        <v>4.2300000000000004</v>
      </c>
      <c r="N50" s="246">
        <v>8.15</v>
      </c>
      <c r="O50" s="249">
        <f t="shared" si="1"/>
        <v>7.3940000000000001</v>
      </c>
      <c r="P50" s="250"/>
      <c r="Q50" s="246">
        <v>3.6799999999999997</v>
      </c>
      <c r="R50" s="246">
        <v>7.9399999999999995</v>
      </c>
      <c r="S50" s="246">
        <v>7.27</v>
      </c>
      <c r="T50" s="249">
        <f t="shared" si="2"/>
        <v>6.2966666666666669</v>
      </c>
      <c r="U50" s="251"/>
      <c r="V50" s="252">
        <f t="shared" si="3"/>
        <v>5.5952222222222225</v>
      </c>
      <c r="W50" s="253"/>
      <c r="X50" s="254">
        <v>4.8666666666666671</v>
      </c>
      <c r="Y50" s="255">
        <v>6.2</v>
      </c>
      <c r="Z50" s="256">
        <v>7.5</v>
      </c>
      <c r="AA50" s="253"/>
      <c r="AB50" s="257">
        <f t="shared" si="4"/>
        <v>5.5223666666666666</v>
      </c>
      <c r="AC50" s="258"/>
    </row>
    <row r="51" spans="1:29" s="241" customFormat="1">
      <c r="A51" s="260"/>
      <c r="B51" s="242" t="s">
        <v>297</v>
      </c>
      <c r="C51" s="243" t="s">
        <v>245</v>
      </c>
      <c r="D51" s="267"/>
      <c r="E51" s="244" t="s">
        <v>256</v>
      </c>
      <c r="F51" s="266"/>
      <c r="G51" s="246">
        <v>2.99</v>
      </c>
      <c r="H51" s="247">
        <v>3.41</v>
      </c>
      <c r="I51" s="246">
        <f t="shared" si="0"/>
        <v>3.2</v>
      </c>
      <c r="J51" s="248"/>
      <c r="K51" s="246">
        <v>6.5600000000000005</v>
      </c>
      <c r="L51" s="246">
        <v>8.379999999999999</v>
      </c>
      <c r="M51" s="246">
        <v>1.9900000000000002</v>
      </c>
      <c r="N51" s="246">
        <v>6.5299999999999994</v>
      </c>
      <c r="O51" s="249">
        <f t="shared" si="1"/>
        <v>6.0529999999999999</v>
      </c>
      <c r="P51" s="250"/>
      <c r="Q51" s="246">
        <v>5.15</v>
      </c>
      <c r="R51" s="246">
        <v>6.46</v>
      </c>
      <c r="S51" s="246">
        <v>8.5399999999999991</v>
      </c>
      <c r="T51" s="249">
        <f t="shared" si="2"/>
        <v>6.7166666666666659</v>
      </c>
      <c r="U51" s="262"/>
      <c r="V51" s="252">
        <f t="shared" si="3"/>
        <v>5.3232222222222214</v>
      </c>
      <c r="W51" s="253"/>
      <c r="X51" s="254">
        <v>7.0666666666666664</v>
      </c>
      <c r="Y51" s="255">
        <v>8.6999999999999993</v>
      </c>
      <c r="Z51" s="256">
        <v>8</v>
      </c>
      <c r="AA51" s="253"/>
      <c r="AB51" s="257">
        <f t="shared" si="4"/>
        <v>5.4975666666666667</v>
      </c>
      <c r="AC51" s="258"/>
    </row>
    <row r="52" spans="1:29" s="241" customFormat="1">
      <c r="B52" s="242" t="s">
        <v>298</v>
      </c>
      <c r="C52" s="243"/>
      <c r="D52" s="243"/>
      <c r="E52" s="244" t="s">
        <v>256</v>
      </c>
      <c r="F52" s="261"/>
      <c r="G52" s="246">
        <v>3.74</v>
      </c>
      <c r="H52" s="247">
        <v>6.6899999999999995</v>
      </c>
      <c r="I52" s="246">
        <f t="shared" si="0"/>
        <v>5.2149999999999999</v>
      </c>
      <c r="J52" s="269"/>
      <c r="K52" s="246">
        <v>6.1</v>
      </c>
      <c r="L52" s="246">
        <v>6.52</v>
      </c>
      <c r="M52" s="246">
        <v>1.4499999999999993</v>
      </c>
      <c r="N52" s="246">
        <v>4.0599999999999996</v>
      </c>
      <c r="O52" s="249">
        <f t="shared" si="1"/>
        <v>4.9824999999999999</v>
      </c>
      <c r="P52" s="270"/>
      <c r="Q52" s="246">
        <v>8.06</v>
      </c>
      <c r="R52" s="246">
        <v>7.0299999999999994</v>
      </c>
      <c r="S52" s="246">
        <v>4.6399999999999997</v>
      </c>
      <c r="T52" s="249">
        <f t="shared" si="2"/>
        <v>6.5766666666666671</v>
      </c>
      <c r="U52" s="251"/>
      <c r="V52" s="252">
        <f t="shared" si="3"/>
        <v>5.591388888888889</v>
      </c>
      <c r="W52" s="271"/>
      <c r="X52" s="254">
        <v>4.5</v>
      </c>
      <c r="Y52" s="255">
        <v>9.6999999999999993</v>
      </c>
      <c r="Z52" s="256">
        <v>6.5</v>
      </c>
      <c r="AA52" s="253"/>
      <c r="AB52" s="257">
        <f t="shared" si="4"/>
        <v>5.4822500000000005</v>
      </c>
      <c r="AC52" s="258"/>
    </row>
    <row r="53" spans="1:29" s="241" customFormat="1">
      <c r="B53" s="242" t="s">
        <v>299</v>
      </c>
      <c r="C53" s="243"/>
      <c r="D53" s="267"/>
      <c r="E53" s="244" t="s">
        <v>249</v>
      </c>
      <c r="F53" s="234"/>
      <c r="G53" s="246">
        <v>3.1799999999999997</v>
      </c>
      <c r="H53" s="247">
        <v>2.83</v>
      </c>
      <c r="I53" s="246">
        <f t="shared" si="0"/>
        <v>3.0049999999999999</v>
      </c>
      <c r="J53" s="248"/>
      <c r="K53" s="246">
        <v>9.24</v>
      </c>
      <c r="L53" s="246">
        <v>9.11</v>
      </c>
      <c r="M53" s="246">
        <v>3.9699999999999998</v>
      </c>
      <c r="N53" s="246">
        <v>7.88</v>
      </c>
      <c r="O53" s="249">
        <f t="shared" si="1"/>
        <v>7.8089999999999993</v>
      </c>
      <c r="P53" s="250"/>
      <c r="Q53" s="246">
        <v>5.48</v>
      </c>
      <c r="R53" s="246">
        <v>7.08</v>
      </c>
      <c r="S53" s="246">
        <v>5.76</v>
      </c>
      <c r="T53" s="249">
        <f t="shared" si="2"/>
        <v>6.1066666666666665</v>
      </c>
      <c r="U53" s="251"/>
      <c r="V53" s="252">
        <f t="shared" si="3"/>
        <v>5.6402222222222216</v>
      </c>
      <c r="W53" s="253"/>
      <c r="X53" s="254">
        <v>3.7666666666666666</v>
      </c>
      <c r="Y53" s="255">
        <v>1</v>
      </c>
      <c r="Z53" s="256">
        <v>5.6</v>
      </c>
      <c r="AA53" s="253"/>
      <c r="AB53" s="257">
        <f t="shared" si="4"/>
        <v>5.452866666666667</v>
      </c>
      <c r="AC53" s="258"/>
    </row>
    <row r="54" spans="1:29" s="241" customFormat="1">
      <c r="A54" s="260"/>
      <c r="B54" s="242" t="s">
        <v>300</v>
      </c>
      <c r="C54" s="243"/>
      <c r="D54" s="243"/>
      <c r="E54" s="244" t="s">
        <v>249</v>
      </c>
      <c r="F54" s="261"/>
      <c r="G54" s="246">
        <v>3.71</v>
      </c>
      <c r="H54" s="247">
        <v>3.05</v>
      </c>
      <c r="I54" s="246">
        <f t="shared" si="0"/>
        <v>3.38</v>
      </c>
      <c r="J54" s="248"/>
      <c r="K54" s="246">
        <v>8.7899999999999991</v>
      </c>
      <c r="L54" s="246">
        <v>5.74</v>
      </c>
      <c r="M54" s="246">
        <v>3.8499999999999996</v>
      </c>
      <c r="N54" s="246">
        <v>6.9399999999999995</v>
      </c>
      <c r="O54" s="249">
        <f t="shared" si="1"/>
        <v>6.3949999999999996</v>
      </c>
      <c r="P54" s="250"/>
      <c r="Q54" s="246">
        <v>4.83</v>
      </c>
      <c r="R54" s="246">
        <v>7.3599999999999994</v>
      </c>
      <c r="S54" s="246">
        <v>5.83</v>
      </c>
      <c r="T54" s="249">
        <f t="shared" si="2"/>
        <v>6.0066666666666668</v>
      </c>
      <c r="U54" s="262"/>
      <c r="V54" s="252">
        <f t="shared" si="3"/>
        <v>5.2605555555555554</v>
      </c>
      <c r="W54" s="253"/>
      <c r="X54" s="254">
        <v>6.4</v>
      </c>
      <c r="Y54" s="255">
        <v>3.1</v>
      </c>
      <c r="Z54" s="256">
        <v>6.1</v>
      </c>
      <c r="AA54" s="253"/>
      <c r="AB54" s="257">
        <f t="shared" si="4"/>
        <v>5.3745000000000012</v>
      </c>
      <c r="AC54" s="258"/>
    </row>
    <row r="55" spans="1:29" s="241" customFormat="1">
      <c r="B55" s="242" t="s">
        <v>301</v>
      </c>
      <c r="C55" s="243"/>
      <c r="D55" s="243" t="s">
        <v>263</v>
      </c>
      <c r="E55" s="244" t="s">
        <v>249</v>
      </c>
      <c r="F55" s="261"/>
      <c r="G55" s="246">
        <v>3.01</v>
      </c>
      <c r="H55" s="247">
        <v>3.2199999999999998</v>
      </c>
      <c r="I55" s="246">
        <f t="shared" si="0"/>
        <v>3.1149999999999998</v>
      </c>
      <c r="J55" s="248"/>
      <c r="K55" s="246">
        <v>7.6899999999999995</v>
      </c>
      <c r="L55" s="246">
        <v>7.27</v>
      </c>
      <c r="M55" s="246">
        <v>4.9000000000000004</v>
      </c>
      <c r="N55" s="246">
        <v>6.75</v>
      </c>
      <c r="O55" s="249">
        <f t="shared" si="1"/>
        <v>6.7984999999999989</v>
      </c>
      <c r="P55" s="250"/>
      <c r="Q55" s="246">
        <v>5.54</v>
      </c>
      <c r="R55" s="246">
        <v>7.26</v>
      </c>
      <c r="S55" s="246">
        <v>5.25</v>
      </c>
      <c r="T55" s="249">
        <f t="shared" si="2"/>
        <v>6.0166666666666666</v>
      </c>
      <c r="U55" s="262"/>
      <c r="V55" s="252">
        <f t="shared" si="3"/>
        <v>5.3100555555555546</v>
      </c>
      <c r="W55" s="253"/>
      <c r="X55" s="254">
        <v>5.5333333333333332</v>
      </c>
      <c r="Y55" s="255">
        <v>4.5999999999999996</v>
      </c>
      <c r="Z55" s="256">
        <v>8.3000000000000007</v>
      </c>
      <c r="AA55" s="253"/>
      <c r="AB55" s="257">
        <f t="shared" si="4"/>
        <v>5.3323833333333335</v>
      </c>
      <c r="AC55" s="258"/>
    </row>
    <row r="56" spans="1:29" s="241" customFormat="1">
      <c r="A56" s="260"/>
      <c r="B56" s="242" t="s">
        <v>302</v>
      </c>
      <c r="C56" s="243"/>
      <c r="D56" s="243"/>
      <c r="E56" s="244" t="s">
        <v>249</v>
      </c>
      <c r="F56" s="245"/>
      <c r="G56" s="246">
        <v>1.8800000000000008</v>
      </c>
      <c r="H56" s="247">
        <v>4.59</v>
      </c>
      <c r="I56" s="246">
        <f t="shared" si="0"/>
        <v>3.2350000000000003</v>
      </c>
      <c r="J56" s="248"/>
      <c r="K56" s="246">
        <v>8.1999999999999993</v>
      </c>
      <c r="L56" s="246">
        <v>6.2</v>
      </c>
      <c r="M56" s="246">
        <v>2.2599999999999998</v>
      </c>
      <c r="N56" s="246">
        <v>9.18</v>
      </c>
      <c r="O56" s="249">
        <f t="shared" si="1"/>
        <v>6.0639999999999983</v>
      </c>
      <c r="P56" s="250"/>
      <c r="Q56" s="246">
        <v>5.38</v>
      </c>
      <c r="R56" s="246">
        <v>7.66</v>
      </c>
      <c r="S56" s="246">
        <v>7.43</v>
      </c>
      <c r="T56" s="249">
        <f t="shared" si="2"/>
        <v>6.8233333333333333</v>
      </c>
      <c r="U56" s="251"/>
      <c r="V56" s="252">
        <f t="shared" si="3"/>
        <v>5.3741111111111115</v>
      </c>
      <c r="W56" s="253"/>
      <c r="X56" s="254">
        <v>4.8666666666666671</v>
      </c>
      <c r="Y56" s="255">
        <v>6.2</v>
      </c>
      <c r="Z56" s="256">
        <v>7.5</v>
      </c>
      <c r="AA56" s="253"/>
      <c r="AB56" s="257">
        <f t="shared" si="4"/>
        <v>5.323366666666665</v>
      </c>
      <c r="AC56" s="258"/>
    </row>
    <row r="57" spans="1:29" s="241" customFormat="1">
      <c r="A57" s="260"/>
      <c r="B57" s="242" t="s">
        <v>303</v>
      </c>
      <c r="C57" s="243" t="s">
        <v>245</v>
      </c>
      <c r="D57" s="243" t="s">
        <v>265</v>
      </c>
      <c r="E57" s="244" t="s">
        <v>251</v>
      </c>
      <c r="F57" s="245"/>
      <c r="G57" s="246">
        <v>4.0599999999999996</v>
      </c>
      <c r="H57" s="247">
        <v>5.36</v>
      </c>
      <c r="I57" s="246">
        <f t="shared" si="0"/>
        <v>4.71</v>
      </c>
      <c r="J57" s="248"/>
      <c r="K57" s="246">
        <v>3.0999999999999996</v>
      </c>
      <c r="L57" s="246">
        <v>4.04</v>
      </c>
      <c r="M57" s="246">
        <v>6.71</v>
      </c>
      <c r="N57" s="246">
        <v>4.08</v>
      </c>
      <c r="O57" s="249">
        <f t="shared" si="1"/>
        <v>4.3804999999999996</v>
      </c>
      <c r="P57" s="250"/>
      <c r="Q57" s="246">
        <v>7.62</v>
      </c>
      <c r="R57" s="246">
        <v>6.49</v>
      </c>
      <c r="S57" s="246">
        <v>4.1399999999999997</v>
      </c>
      <c r="T57" s="249">
        <f t="shared" si="2"/>
        <v>6.083333333333333</v>
      </c>
      <c r="U57" s="262"/>
      <c r="V57" s="252">
        <f t="shared" si="3"/>
        <v>5.0579444444444439</v>
      </c>
      <c r="W57" s="253"/>
      <c r="X57" s="254">
        <v>7.4</v>
      </c>
      <c r="Y57" s="255">
        <v>9.6999999999999993</v>
      </c>
      <c r="Z57" s="256">
        <v>9.3000000000000007</v>
      </c>
      <c r="AA57" s="253"/>
      <c r="AB57" s="257">
        <f t="shared" si="4"/>
        <v>5.2921499999999995</v>
      </c>
      <c r="AC57" s="258"/>
    </row>
    <row r="58" spans="1:29" s="265" customFormat="1">
      <c r="A58" s="241"/>
      <c r="B58" s="242" t="s">
        <v>304</v>
      </c>
      <c r="C58" s="243" t="s">
        <v>245</v>
      </c>
      <c r="D58" s="243" t="s">
        <v>246</v>
      </c>
      <c r="E58" s="244" t="s">
        <v>256</v>
      </c>
      <c r="F58" s="273"/>
      <c r="G58" s="246">
        <v>4.72</v>
      </c>
      <c r="H58" s="247">
        <v>5.47</v>
      </c>
      <c r="I58" s="246">
        <f t="shared" si="0"/>
        <v>5.0949999999999998</v>
      </c>
      <c r="J58" s="274"/>
      <c r="K58" s="246">
        <v>3.08</v>
      </c>
      <c r="L58" s="246">
        <v>5.91</v>
      </c>
      <c r="M58" s="246">
        <v>3.01</v>
      </c>
      <c r="N58" s="246">
        <v>3.5999999999999996</v>
      </c>
      <c r="O58" s="249">
        <f t="shared" si="1"/>
        <v>4.0789999999999997</v>
      </c>
      <c r="P58" s="275"/>
      <c r="Q58" s="246">
        <v>5.18</v>
      </c>
      <c r="R58" s="246">
        <v>6.5600000000000005</v>
      </c>
      <c r="S58" s="246">
        <v>3.66</v>
      </c>
      <c r="T58" s="249">
        <f t="shared" si="2"/>
        <v>5.1333333333333337</v>
      </c>
      <c r="U58" s="251"/>
      <c r="V58" s="252">
        <f t="shared" si="3"/>
        <v>4.7691111111111111</v>
      </c>
      <c r="W58" s="253"/>
      <c r="X58" s="254">
        <v>9.9333333333333336</v>
      </c>
      <c r="Y58" s="255">
        <v>1.8</v>
      </c>
      <c r="Z58" s="256">
        <v>8.1999999999999993</v>
      </c>
      <c r="AA58" s="253"/>
      <c r="AB58" s="257">
        <f t="shared" si="4"/>
        <v>5.2855333333333325</v>
      </c>
      <c r="AC58" s="258"/>
    </row>
    <row r="59" spans="1:29" s="260" customFormat="1">
      <c r="A59" s="241"/>
      <c r="B59" s="242" t="s">
        <v>305</v>
      </c>
      <c r="C59" s="243"/>
      <c r="D59" s="243" t="s">
        <v>265</v>
      </c>
      <c r="E59" s="244" t="s">
        <v>268</v>
      </c>
      <c r="F59" s="264"/>
      <c r="G59" s="246">
        <v>6.2799999999999994</v>
      </c>
      <c r="H59" s="247">
        <v>6.59</v>
      </c>
      <c r="I59" s="246">
        <f t="shared" si="0"/>
        <v>6.4349999999999996</v>
      </c>
      <c r="J59" s="276"/>
      <c r="K59" s="246">
        <v>4.4000000000000004</v>
      </c>
      <c r="L59" s="246">
        <v>4.8600000000000003</v>
      </c>
      <c r="M59" s="246">
        <v>1.7699999999999996</v>
      </c>
      <c r="N59" s="246">
        <v>4.3099999999999996</v>
      </c>
      <c r="O59" s="249">
        <f t="shared" si="1"/>
        <v>3.899</v>
      </c>
      <c r="P59" s="277"/>
      <c r="Q59" s="246">
        <v>6.3100000000000005</v>
      </c>
      <c r="R59" s="246">
        <v>6.88</v>
      </c>
      <c r="S59" s="246">
        <v>4.04</v>
      </c>
      <c r="T59" s="249">
        <f t="shared" si="2"/>
        <v>5.7433333333333332</v>
      </c>
      <c r="U59" s="251"/>
      <c r="V59" s="252">
        <f t="shared" si="3"/>
        <v>5.3591111111111109</v>
      </c>
      <c r="W59" s="253"/>
      <c r="X59" s="254">
        <v>4.5333333333333332</v>
      </c>
      <c r="Y59" s="255">
        <v>9.3000000000000007</v>
      </c>
      <c r="Z59" s="256">
        <v>6.4</v>
      </c>
      <c r="AA59" s="253"/>
      <c r="AB59" s="257">
        <f t="shared" si="4"/>
        <v>5.2765333333333331</v>
      </c>
      <c r="AC59" s="258"/>
    </row>
    <row r="60" spans="1:29" s="260" customFormat="1">
      <c r="B60" s="242" t="s">
        <v>306</v>
      </c>
      <c r="C60" s="243"/>
      <c r="D60" s="243" t="s">
        <v>246</v>
      </c>
      <c r="E60" s="244" t="s">
        <v>251</v>
      </c>
      <c r="F60" s="278"/>
      <c r="G60" s="246">
        <v>1.8000000000000007</v>
      </c>
      <c r="H60" s="247">
        <v>7.55</v>
      </c>
      <c r="I60" s="246">
        <f t="shared" si="0"/>
        <v>4.6750000000000007</v>
      </c>
      <c r="J60" s="274"/>
      <c r="K60" s="246">
        <v>3.17</v>
      </c>
      <c r="L60" s="246">
        <v>6.26</v>
      </c>
      <c r="M60" s="246">
        <v>3.75</v>
      </c>
      <c r="N60" s="246">
        <v>3.6399999999999997</v>
      </c>
      <c r="O60" s="249">
        <f t="shared" si="1"/>
        <v>4.42</v>
      </c>
      <c r="P60" s="279"/>
      <c r="Q60" s="246">
        <v>6.92</v>
      </c>
      <c r="R60" s="246">
        <v>7.16</v>
      </c>
      <c r="S60" s="246">
        <v>3.74</v>
      </c>
      <c r="T60" s="249">
        <f t="shared" si="2"/>
        <v>5.94</v>
      </c>
      <c r="U60" s="251"/>
      <c r="V60" s="252">
        <f t="shared" si="3"/>
        <v>5.0116666666666667</v>
      </c>
      <c r="W60" s="253"/>
      <c r="X60" s="254">
        <v>7.4</v>
      </c>
      <c r="Y60" s="255">
        <v>9.6999999999999993</v>
      </c>
      <c r="Z60" s="256">
        <v>9.3000000000000007</v>
      </c>
      <c r="AA60" s="253"/>
      <c r="AB60" s="257">
        <f t="shared" si="4"/>
        <v>5.2505000000000006</v>
      </c>
      <c r="AC60" s="258"/>
    </row>
    <row r="61" spans="1:29" s="260" customFormat="1">
      <c r="A61" s="241"/>
      <c r="B61" s="242" t="s">
        <v>307</v>
      </c>
      <c r="C61" s="243"/>
      <c r="D61" s="267"/>
      <c r="E61" s="244" t="s">
        <v>256</v>
      </c>
      <c r="F61" s="278"/>
      <c r="G61" s="246">
        <v>4.09</v>
      </c>
      <c r="H61" s="247">
        <v>3</v>
      </c>
      <c r="I61" s="246">
        <f t="shared" si="0"/>
        <v>3.5449999999999999</v>
      </c>
      <c r="J61" s="274"/>
      <c r="K61" s="246">
        <v>9.1300000000000008</v>
      </c>
      <c r="L61" s="246">
        <v>7.3599999999999994</v>
      </c>
      <c r="M61" s="246">
        <v>1.3800000000000008</v>
      </c>
      <c r="N61" s="246">
        <v>7.77</v>
      </c>
      <c r="O61" s="249">
        <f t="shared" si="1"/>
        <v>6.5049999999999999</v>
      </c>
      <c r="P61" s="279"/>
      <c r="Q61" s="246">
        <v>6.1</v>
      </c>
      <c r="R61" s="246">
        <v>7.25</v>
      </c>
      <c r="S61" s="246">
        <v>5.97</v>
      </c>
      <c r="T61" s="249">
        <f t="shared" si="2"/>
        <v>6.44</v>
      </c>
      <c r="U61" s="251"/>
      <c r="V61" s="252">
        <f t="shared" si="3"/>
        <v>5.496666666666667</v>
      </c>
      <c r="W61" s="253"/>
      <c r="X61" s="254">
        <v>3</v>
      </c>
      <c r="Y61" s="255">
        <v>6.2</v>
      </c>
      <c r="Z61" s="256">
        <v>6.7</v>
      </c>
      <c r="AA61" s="271"/>
      <c r="AB61" s="257">
        <f t="shared" si="4"/>
        <v>5.246999999999999</v>
      </c>
      <c r="AC61" s="263"/>
    </row>
    <row r="62" spans="1:29" s="260" customFormat="1">
      <c r="B62" s="242" t="s">
        <v>308</v>
      </c>
      <c r="C62" s="243"/>
      <c r="D62" s="243"/>
      <c r="E62" s="244" t="s">
        <v>249</v>
      </c>
      <c r="F62" s="273"/>
      <c r="G62" s="246">
        <v>2.96</v>
      </c>
      <c r="H62" s="247">
        <v>4.0999999999999996</v>
      </c>
      <c r="I62" s="246">
        <f t="shared" si="0"/>
        <v>3.53</v>
      </c>
      <c r="J62" s="274"/>
      <c r="K62" s="246">
        <v>8.27</v>
      </c>
      <c r="L62" s="246">
        <v>7.7</v>
      </c>
      <c r="M62" s="246">
        <v>3.45</v>
      </c>
      <c r="N62" s="246">
        <v>7.7</v>
      </c>
      <c r="O62" s="249">
        <f t="shared" si="1"/>
        <v>6.8369999999999989</v>
      </c>
      <c r="P62" s="279"/>
      <c r="Q62" s="246">
        <v>5.65</v>
      </c>
      <c r="R62" s="246">
        <v>7.04</v>
      </c>
      <c r="S62" s="246">
        <v>5.52</v>
      </c>
      <c r="T62" s="249">
        <f t="shared" si="2"/>
        <v>6.07</v>
      </c>
      <c r="U62" s="262"/>
      <c r="V62" s="252">
        <f t="shared" si="3"/>
        <v>5.4789999999999992</v>
      </c>
      <c r="W62" s="253"/>
      <c r="X62" s="254">
        <v>3.1</v>
      </c>
      <c r="Y62" s="255">
        <v>1</v>
      </c>
      <c r="Z62" s="256">
        <v>3.7</v>
      </c>
      <c r="AA62" s="253"/>
      <c r="AB62" s="257">
        <f t="shared" si="4"/>
        <v>5.2410999999999994</v>
      </c>
      <c r="AC62" s="258"/>
    </row>
    <row r="63" spans="1:29" s="260" customFormat="1">
      <c r="B63" s="242" t="s">
        <v>309</v>
      </c>
      <c r="C63" s="243"/>
      <c r="D63" s="243" t="s">
        <v>265</v>
      </c>
      <c r="E63" s="244" t="s">
        <v>268</v>
      </c>
      <c r="F63" s="278"/>
      <c r="G63" s="246">
        <v>8.52</v>
      </c>
      <c r="H63" s="247">
        <v>3.58</v>
      </c>
      <c r="I63" s="246">
        <f t="shared" si="0"/>
        <v>6.05</v>
      </c>
      <c r="J63" s="274"/>
      <c r="K63" s="246">
        <v>4</v>
      </c>
      <c r="L63" s="246">
        <v>5.64</v>
      </c>
      <c r="M63" s="246">
        <v>1.67</v>
      </c>
      <c r="N63" s="246">
        <v>4.53</v>
      </c>
      <c r="O63" s="249">
        <f t="shared" si="1"/>
        <v>4.0179999999999998</v>
      </c>
      <c r="P63" s="279"/>
      <c r="Q63" s="246">
        <v>6.2799999999999994</v>
      </c>
      <c r="R63" s="246">
        <v>6.1899999999999995</v>
      </c>
      <c r="S63" s="246">
        <v>3.6399999999999997</v>
      </c>
      <c r="T63" s="249">
        <f t="shared" si="2"/>
        <v>5.37</v>
      </c>
      <c r="U63" s="251"/>
      <c r="V63" s="252">
        <f t="shared" si="3"/>
        <v>5.1459999999999999</v>
      </c>
      <c r="W63" s="253"/>
      <c r="X63" s="254">
        <v>5.9666666666666668</v>
      </c>
      <c r="Y63" s="255">
        <v>8.6999999999999993</v>
      </c>
      <c r="Z63" s="256">
        <v>8</v>
      </c>
      <c r="AA63" s="253"/>
      <c r="AB63" s="257">
        <f t="shared" si="4"/>
        <v>5.228066666666666</v>
      </c>
      <c r="AC63" s="258"/>
    </row>
    <row r="64" spans="1:29" s="260" customFormat="1">
      <c r="B64" s="242" t="s">
        <v>310</v>
      </c>
      <c r="C64" s="243"/>
      <c r="D64" s="243"/>
      <c r="E64" s="244" t="s">
        <v>251</v>
      </c>
      <c r="F64" s="266"/>
      <c r="G64" s="246">
        <v>4.6100000000000003</v>
      </c>
      <c r="H64" s="247">
        <v>6.73</v>
      </c>
      <c r="I64" s="246">
        <f t="shared" si="0"/>
        <v>5.67</v>
      </c>
      <c r="J64" s="274"/>
      <c r="K64" s="246">
        <v>4.8899999999999997</v>
      </c>
      <c r="L64" s="246">
        <v>4.05</v>
      </c>
      <c r="M64" s="246">
        <v>7.04</v>
      </c>
      <c r="N64" s="246">
        <v>4.8499999999999996</v>
      </c>
      <c r="O64" s="249">
        <f t="shared" si="1"/>
        <v>5.1314999999999991</v>
      </c>
      <c r="P64" s="279"/>
      <c r="Q64" s="246">
        <v>6.9399999999999995</v>
      </c>
      <c r="R64" s="246">
        <v>5.98</v>
      </c>
      <c r="S64" s="246">
        <v>4.5999999999999996</v>
      </c>
      <c r="T64" s="249">
        <f t="shared" si="2"/>
        <v>5.84</v>
      </c>
      <c r="U64" s="262"/>
      <c r="V64" s="252">
        <f t="shared" si="3"/>
        <v>5.5471666666666666</v>
      </c>
      <c r="W64" s="253"/>
      <c r="X64" s="254">
        <v>2.3333333333333335</v>
      </c>
      <c r="Y64" s="255">
        <v>8.6999999999999993</v>
      </c>
      <c r="Z64" s="256">
        <v>5.3</v>
      </c>
      <c r="AA64" s="253"/>
      <c r="AB64" s="257">
        <f t="shared" si="4"/>
        <v>5.2257833333333332</v>
      </c>
      <c r="AC64" s="263"/>
    </row>
    <row r="65" spans="1:29" s="260" customFormat="1">
      <c r="A65" s="241"/>
      <c r="B65" s="242" t="s">
        <v>311</v>
      </c>
      <c r="C65" s="243"/>
      <c r="D65" s="243"/>
      <c r="E65" s="244" t="s">
        <v>251</v>
      </c>
      <c r="F65" s="278"/>
      <c r="G65" s="246">
        <v>5.96</v>
      </c>
      <c r="H65" s="247">
        <v>5.37</v>
      </c>
      <c r="I65" s="246">
        <f t="shared" si="0"/>
        <v>5.665</v>
      </c>
      <c r="J65" s="274"/>
      <c r="K65" s="246">
        <v>4.33</v>
      </c>
      <c r="L65" s="246">
        <v>5.79</v>
      </c>
      <c r="M65" s="246">
        <v>1.67</v>
      </c>
      <c r="N65" s="246">
        <v>3.24</v>
      </c>
      <c r="O65" s="249">
        <f t="shared" si="1"/>
        <v>4.1215000000000002</v>
      </c>
      <c r="P65" s="279"/>
      <c r="Q65" s="246">
        <v>7.66</v>
      </c>
      <c r="R65" s="246">
        <v>7.25</v>
      </c>
      <c r="S65" s="246">
        <v>3.08</v>
      </c>
      <c r="T65" s="249">
        <f t="shared" si="2"/>
        <v>5.996666666666667</v>
      </c>
      <c r="U65" s="262"/>
      <c r="V65" s="252">
        <f t="shared" si="3"/>
        <v>5.2610555555555552</v>
      </c>
      <c r="W65" s="253"/>
      <c r="X65" s="254">
        <v>4.2</v>
      </c>
      <c r="Y65" s="255">
        <v>6.2</v>
      </c>
      <c r="Z65" s="256">
        <v>5.7</v>
      </c>
      <c r="AA65" s="253"/>
      <c r="AB65" s="257">
        <f t="shared" si="4"/>
        <v>5.1549499999999995</v>
      </c>
      <c r="AC65" s="258"/>
    </row>
    <row r="66" spans="1:29" s="260" customFormat="1">
      <c r="B66" s="242" t="s">
        <v>312</v>
      </c>
      <c r="C66" s="243"/>
      <c r="D66" s="243"/>
      <c r="E66" s="244" t="s">
        <v>247</v>
      </c>
      <c r="F66" s="273"/>
      <c r="G66" s="246">
        <v>2.75</v>
      </c>
      <c r="H66" s="247">
        <v>2.4800000000000004</v>
      </c>
      <c r="I66" s="246">
        <f t="shared" si="0"/>
        <v>2.6150000000000002</v>
      </c>
      <c r="J66" s="274"/>
      <c r="K66" s="246">
        <v>9.33</v>
      </c>
      <c r="L66" s="246">
        <v>8.42</v>
      </c>
      <c r="M66" s="246">
        <v>3.7</v>
      </c>
      <c r="N66" s="246">
        <v>6.96</v>
      </c>
      <c r="O66" s="249">
        <f t="shared" si="1"/>
        <v>7.4854999999999992</v>
      </c>
      <c r="P66" s="279"/>
      <c r="Q66" s="246">
        <v>3.2199999999999998</v>
      </c>
      <c r="R66" s="246">
        <v>7.7</v>
      </c>
      <c r="S66" s="246">
        <v>7.54</v>
      </c>
      <c r="T66" s="249">
        <f t="shared" si="2"/>
        <v>6.1533333333333333</v>
      </c>
      <c r="U66" s="251"/>
      <c r="V66" s="252">
        <f t="shared" si="3"/>
        <v>5.4179444444444442</v>
      </c>
      <c r="W66" s="253"/>
      <c r="X66" s="254">
        <v>2.6666666666666665</v>
      </c>
      <c r="Y66" s="255">
        <v>6.2</v>
      </c>
      <c r="Z66" s="256">
        <v>5.7</v>
      </c>
      <c r="AA66" s="253"/>
      <c r="AB66" s="257">
        <f t="shared" si="4"/>
        <v>5.1428166666666657</v>
      </c>
      <c r="AC66" s="263"/>
    </row>
    <row r="67" spans="1:29" s="260" customFormat="1">
      <c r="A67" s="241"/>
      <c r="B67" s="242" t="s">
        <v>313</v>
      </c>
      <c r="C67" s="243"/>
      <c r="D67" s="243"/>
      <c r="E67" s="244" t="s">
        <v>247</v>
      </c>
      <c r="F67" s="273"/>
      <c r="G67" s="246">
        <v>2.95</v>
      </c>
      <c r="H67" s="247">
        <v>2.59</v>
      </c>
      <c r="I67" s="246">
        <f t="shared" si="0"/>
        <v>2.77</v>
      </c>
      <c r="J67" s="274"/>
      <c r="K67" s="246">
        <v>9.14</v>
      </c>
      <c r="L67" s="246">
        <v>8.23</v>
      </c>
      <c r="M67" s="246">
        <v>3.4699999999999998</v>
      </c>
      <c r="N67" s="246">
        <v>5.9</v>
      </c>
      <c r="O67" s="249">
        <f t="shared" si="1"/>
        <v>7.2419999999999991</v>
      </c>
      <c r="P67" s="279"/>
      <c r="Q67" s="246">
        <v>4.7</v>
      </c>
      <c r="R67" s="246">
        <v>7.6400000000000006</v>
      </c>
      <c r="S67" s="246">
        <v>6.29</v>
      </c>
      <c r="T67" s="249">
        <f t="shared" si="2"/>
        <v>6.21</v>
      </c>
      <c r="U67" s="251"/>
      <c r="V67" s="252">
        <f t="shared" si="3"/>
        <v>5.4073333333333329</v>
      </c>
      <c r="W67" s="253"/>
      <c r="X67" s="254">
        <v>2.3333333333333335</v>
      </c>
      <c r="Y67" s="255">
        <v>4.5999999999999996</v>
      </c>
      <c r="Z67" s="256">
        <v>4.5</v>
      </c>
      <c r="AA67" s="253"/>
      <c r="AB67" s="257">
        <f t="shared" si="4"/>
        <v>5.0999333333333334</v>
      </c>
      <c r="AC67" s="258"/>
    </row>
    <row r="68" spans="1:29" s="260" customFormat="1">
      <c r="A68" s="241"/>
      <c r="B68" s="242" t="s">
        <v>314</v>
      </c>
      <c r="C68" s="243"/>
      <c r="D68" s="243"/>
      <c r="E68" s="244" t="s">
        <v>249</v>
      </c>
      <c r="F68" s="278"/>
      <c r="G68" s="246">
        <v>2.3600000000000003</v>
      </c>
      <c r="H68" s="247">
        <v>2.2199999999999998</v>
      </c>
      <c r="I68" s="246">
        <f t="shared" si="0"/>
        <v>2.29</v>
      </c>
      <c r="J68" s="274"/>
      <c r="K68" s="246">
        <v>7.91</v>
      </c>
      <c r="L68" s="246">
        <v>7.34</v>
      </c>
      <c r="M68" s="246">
        <v>4.0999999999999996</v>
      </c>
      <c r="N68" s="246">
        <v>3.79</v>
      </c>
      <c r="O68" s="249">
        <f t="shared" si="1"/>
        <v>6.5520000000000005</v>
      </c>
      <c r="P68" s="279"/>
      <c r="Q68" s="246">
        <v>6.6</v>
      </c>
      <c r="R68" s="246">
        <v>7.51</v>
      </c>
      <c r="S68" s="246">
        <v>4.92</v>
      </c>
      <c r="T68" s="249">
        <f t="shared" si="2"/>
        <v>6.3433333333333337</v>
      </c>
      <c r="U68" s="251"/>
      <c r="V68" s="252">
        <f t="shared" si="3"/>
        <v>5.0617777777777784</v>
      </c>
      <c r="W68" s="253"/>
      <c r="X68" s="254">
        <v>4.8666666666666671</v>
      </c>
      <c r="Y68" s="255">
        <v>1</v>
      </c>
      <c r="Z68" s="256">
        <v>6.4</v>
      </c>
      <c r="AA68" s="253"/>
      <c r="AB68" s="257">
        <f t="shared" si="4"/>
        <v>5.0422666666666665</v>
      </c>
      <c r="AC68" s="258"/>
    </row>
    <row r="69" spans="1:29" s="260" customFormat="1">
      <c r="B69" s="242" t="s">
        <v>315</v>
      </c>
      <c r="C69" s="243" t="s">
        <v>245</v>
      </c>
      <c r="D69" s="243" t="s">
        <v>263</v>
      </c>
      <c r="E69" s="244" t="s">
        <v>256</v>
      </c>
      <c r="F69" s="278"/>
      <c r="G69" s="246">
        <v>4.9400000000000004</v>
      </c>
      <c r="H69" s="247">
        <v>6.1099999999999994</v>
      </c>
      <c r="I69" s="246">
        <f t="shared" si="0"/>
        <v>5.5250000000000004</v>
      </c>
      <c r="J69" s="274"/>
      <c r="K69" s="246">
        <v>4.67</v>
      </c>
      <c r="L69" s="246">
        <v>5.57</v>
      </c>
      <c r="M69" s="246">
        <v>4.42</v>
      </c>
      <c r="N69" s="246">
        <v>2.5599999999999996</v>
      </c>
      <c r="O69" s="249">
        <f t="shared" si="1"/>
        <v>4.8170000000000002</v>
      </c>
      <c r="P69" s="279"/>
      <c r="Q69" s="246">
        <v>5.87</v>
      </c>
      <c r="R69" s="246">
        <v>5.17</v>
      </c>
      <c r="S69" s="246">
        <v>4.82</v>
      </c>
      <c r="T69" s="249">
        <f t="shared" si="2"/>
        <v>5.2866666666666662</v>
      </c>
      <c r="U69" s="262"/>
      <c r="V69" s="252">
        <f t="shared" si="3"/>
        <v>5.2095555555555562</v>
      </c>
      <c r="W69" s="253"/>
      <c r="X69" s="254">
        <v>3.3333333333333335</v>
      </c>
      <c r="Y69" s="255">
        <v>1.8</v>
      </c>
      <c r="Z69" s="256">
        <v>7.2</v>
      </c>
      <c r="AA69" s="253"/>
      <c r="AB69" s="257">
        <f t="shared" si="4"/>
        <v>5.0219333333333322</v>
      </c>
      <c r="AC69" s="258"/>
    </row>
    <row r="70" spans="1:29" s="260" customFormat="1">
      <c r="A70" s="241"/>
      <c r="B70" s="242" t="s">
        <v>316</v>
      </c>
      <c r="C70" s="243"/>
      <c r="D70" s="243" t="s">
        <v>265</v>
      </c>
      <c r="E70" s="244" t="s">
        <v>268</v>
      </c>
      <c r="F70" s="273"/>
      <c r="G70" s="246">
        <v>6.5299999999999994</v>
      </c>
      <c r="H70" s="247">
        <v>3.3600000000000003</v>
      </c>
      <c r="I70" s="246">
        <f t="shared" si="0"/>
        <v>4.9450000000000003</v>
      </c>
      <c r="J70" s="274"/>
      <c r="K70" s="246">
        <v>4.25</v>
      </c>
      <c r="L70" s="246">
        <v>5.46</v>
      </c>
      <c r="M70" s="246">
        <v>1.6400000000000006</v>
      </c>
      <c r="N70" s="246">
        <v>5.32</v>
      </c>
      <c r="O70" s="249">
        <f t="shared" si="1"/>
        <v>4.0744999999999996</v>
      </c>
      <c r="P70" s="279"/>
      <c r="Q70" s="246">
        <v>6.24</v>
      </c>
      <c r="R70" s="246">
        <v>7.4</v>
      </c>
      <c r="S70" s="246">
        <v>4.83</v>
      </c>
      <c r="T70" s="249">
        <f t="shared" si="2"/>
        <v>6.1566666666666663</v>
      </c>
      <c r="U70" s="251"/>
      <c r="V70" s="252">
        <f t="shared" si="3"/>
        <v>5.0587222222222223</v>
      </c>
      <c r="W70" s="253"/>
      <c r="X70" s="254">
        <v>4.5333333333333332</v>
      </c>
      <c r="Y70" s="255">
        <v>8.6999999999999993</v>
      </c>
      <c r="Z70" s="256">
        <v>6.2</v>
      </c>
      <c r="AA70" s="253"/>
      <c r="AB70" s="257">
        <f t="shared" si="4"/>
        <v>5.0061833333333325</v>
      </c>
      <c r="AC70" s="258"/>
    </row>
    <row r="71" spans="1:29" s="260" customFormat="1">
      <c r="B71" s="242" t="s">
        <v>317</v>
      </c>
      <c r="C71" s="243" t="s">
        <v>245</v>
      </c>
      <c r="D71" s="243"/>
      <c r="E71" s="244" t="s">
        <v>251</v>
      </c>
      <c r="F71" s="278"/>
      <c r="G71" s="246">
        <v>5.14</v>
      </c>
      <c r="H71" s="247">
        <v>3.84</v>
      </c>
      <c r="I71" s="246">
        <f t="shared" si="0"/>
        <v>4.49</v>
      </c>
      <c r="J71" s="274"/>
      <c r="K71" s="246">
        <v>4.33</v>
      </c>
      <c r="L71" s="246">
        <v>3.9800000000000004</v>
      </c>
      <c r="M71" s="246">
        <v>4.57</v>
      </c>
      <c r="N71" s="246">
        <v>2.16</v>
      </c>
      <c r="O71" s="249">
        <f t="shared" si="1"/>
        <v>4.1589999999999998</v>
      </c>
      <c r="P71" s="279"/>
      <c r="Q71" s="246">
        <v>5.5</v>
      </c>
      <c r="R71" s="246">
        <v>7.1899999999999995</v>
      </c>
      <c r="S71" s="246">
        <v>2.87</v>
      </c>
      <c r="T71" s="249">
        <f t="shared" si="2"/>
        <v>5.1866666666666665</v>
      </c>
      <c r="U71" s="251"/>
      <c r="V71" s="252">
        <f t="shared" si="3"/>
        <v>4.6118888888888891</v>
      </c>
      <c r="W71" s="253"/>
      <c r="X71" s="254">
        <v>8.5</v>
      </c>
      <c r="Y71" s="255">
        <v>8.6999999999999993</v>
      </c>
      <c r="Z71" s="256">
        <v>9.1</v>
      </c>
      <c r="AA71" s="253"/>
      <c r="AB71" s="257">
        <f t="shared" si="4"/>
        <v>5.0007000000000001</v>
      </c>
      <c r="AC71" s="258"/>
    </row>
    <row r="72" spans="1:29" s="260" customFormat="1">
      <c r="B72" s="242" t="s">
        <v>318</v>
      </c>
      <c r="C72" s="243"/>
      <c r="D72" s="243"/>
      <c r="E72" s="244" t="s">
        <v>256</v>
      </c>
      <c r="F72" s="273"/>
      <c r="G72" s="246">
        <v>7.6099999999999994</v>
      </c>
      <c r="H72" s="247">
        <v>5.76</v>
      </c>
      <c r="I72" s="246">
        <f t="shared" ref="I72:I135" si="5">(G72*0.5)+(H72*0.5)</f>
        <v>6.6849999999999996</v>
      </c>
      <c r="J72" s="274"/>
      <c r="K72" s="246">
        <v>4.5999999999999996</v>
      </c>
      <c r="L72" s="246">
        <v>4.41</v>
      </c>
      <c r="M72" s="246">
        <v>1.1400000000000006</v>
      </c>
      <c r="N72" s="246">
        <v>5.4</v>
      </c>
      <c r="O72" s="249">
        <f t="shared" ref="O72:O135" si="6">(K72*0.35)+(L72*0.35)+(M72*0.25)+(N72*0.05)</f>
        <v>3.7084999999999999</v>
      </c>
      <c r="P72" s="279"/>
      <c r="Q72" s="246">
        <v>5.15</v>
      </c>
      <c r="R72" s="246">
        <v>4.2</v>
      </c>
      <c r="S72" s="246">
        <v>5.13</v>
      </c>
      <c r="T72" s="249">
        <f t="shared" ref="T72:T135" si="7">SUM(Q72:S72)/3</f>
        <v>4.8266666666666671</v>
      </c>
      <c r="U72" s="251"/>
      <c r="V72" s="252">
        <f t="shared" ref="V72:V135" si="8">(I72+O72+T72)/3</f>
        <v>5.0733888888888892</v>
      </c>
      <c r="W72" s="253"/>
      <c r="X72" s="254">
        <v>4.0999999999999996</v>
      </c>
      <c r="Y72" s="255">
        <v>0.2</v>
      </c>
      <c r="Z72" s="256">
        <v>6.3</v>
      </c>
      <c r="AA72" s="253"/>
      <c r="AB72" s="257">
        <f t="shared" ref="AB72:AB135" si="9">(I72*0.3)+(O72*0.3)+(T72*0.3)+(X72*0.1)</f>
        <v>4.9760499999999999</v>
      </c>
      <c r="AC72" s="258"/>
    </row>
    <row r="73" spans="1:29" s="260" customFormat="1">
      <c r="A73" s="241"/>
      <c r="B73" s="242" t="s">
        <v>319</v>
      </c>
      <c r="C73" s="243"/>
      <c r="D73" s="243"/>
      <c r="E73" s="244" t="s">
        <v>251</v>
      </c>
      <c r="F73" s="273"/>
      <c r="G73" s="246">
        <v>6.1</v>
      </c>
      <c r="H73" s="247">
        <v>4.78</v>
      </c>
      <c r="I73" s="246">
        <f t="shared" si="5"/>
        <v>5.4399999999999995</v>
      </c>
      <c r="J73" s="274"/>
      <c r="K73" s="246">
        <v>4.92</v>
      </c>
      <c r="L73" s="246">
        <v>5.7</v>
      </c>
      <c r="M73" s="246">
        <v>1.2599999999999998</v>
      </c>
      <c r="N73" s="246">
        <v>3.8200000000000003</v>
      </c>
      <c r="O73" s="249">
        <f t="shared" si="6"/>
        <v>4.2229999999999999</v>
      </c>
      <c r="P73" s="279"/>
      <c r="Q73" s="246">
        <v>8.06</v>
      </c>
      <c r="R73" s="246">
        <v>6.1</v>
      </c>
      <c r="S73" s="246">
        <v>3.37</v>
      </c>
      <c r="T73" s="249">
        <f t="shared" si="7"/>
        <v>5.8433333333333337</v>
      </c>
      <c r="U73" s="262"/>
      <c r="V73" s="252">
        <f t="shared" si="8"/>
        <v>5.1687777777777777</v>
      </c>
      <c r="W73" s="253"/>
      <c r="X73" s="254">
        <v>3.1</v>
      </c>
      <c r="Y73" s="255">
        <v>4.5999999999999996</v>
      </c>
      <c r="Z73" s="256">
        <v>4.5</v>
      </c>
      <c r="AA73" s="253"/>
      <c r="AB73" s="257">
        <f t="shared" si="9"/>
        <v>4.9619</v>
      </c>
      <c r="AC73" s="258"/>
    </row>
    <row r="74" spans="1:29" s="260" customFormat="1">
      <c r="B74" s="242" t="s">
        <v>320</v>
      </c>
      <c r="C74" s="243"/>
      <c r="D74" s="243"/>
      <c r="E74" s="244" t="s">
        <v>254</v>
      </c>
      <c r="F74" s="264"/>
      <c r="G74" s="246">
        <v>1.0600000000000005</v>
      </c>
      <c r="H74" s="247">
        <v>2.7300000000000004</v>
      </c>
      <c r="I74" s="246">
        <f t="shared" si="5"/>
        <v>1.8950000000000005</v>
      </c>
      <c r="J74" s="274"/>
      <c r="K74" s="246">
        <v>6.85</v>
      </c>
      <c r="L74" s="246">
        <v>8.02</v>
      </c>
      <c r="M74" s="246">
        <v>4.0999999999999996</v>
      </c>
      <c r="N74" s="246">
        <v>6.08</v>
      </c>
      <c r="O74" s="249">
        <f t="shared" si="6"/>
        <v>6.5335000000000001</v>
      </c>
      <c r="P74" s="279"/>
      <c r="Q74" s="246">
        <v>6.46</v>
      </c>
      <c r="R74" s="246">
        <v>7.7</v>
      </c>
      <c r="S74" s="246">
        <v>5.42</v>
      </c>
      <c r="T74" s="249">
        <f t="shared" si="7"/>
        <v>6.5266666666666664</v>
      </c>
      <c r="U74" s="251"/>
      <c r="V74" s="252">
        <f t="shared" si="8"/>
        <v>4.9850555555555554</v>
      </c>
      <c r="W74" s="253"/>
      <c r="X74" s="254">
        <v>4.5333333333333332</v>
      </c>
      <c r="Y74" s="255">
        <v>7.6</v>
      </c>
      <c r="Z74" s="256">
        <v>7</v>
      </c>
      <c r="AA74" s="253"/>
      <c r="AB74" s="257">
        <f t="shared" si="9"/>
        <v>4.9398833333333325</v>
      </c>
      <c r="AC74" s="258"/>
    </row>
    <row r="75" spans="1:29" s="260" customFormat="1">
      <c r="A75" s="241"/>
      <c r="B75" s="242" t="s">
        <v>321</v>
      </c>
      <c r="C75" s="243"/>
      <c r="D75" s="243"/>
      <c r="E75" s="244" t="s">
        <v>249</v>
      </c>
      <c r="F75" s="259"/>
      <c r="G75" s="246">
        <v>2.71</v>
      </c>
      <c r="H75" s="247">
        <v>4.4800000000000004</v>
      </c>
      <c r="I75" s="246">
        <f t="shared" si="5"/>
        <v>3.5950000000000002</v>
      </c>
      <c r="J75" s="274"/>
      <c r="K75" s="246">
        <v>7.4700000000000006</v>
      </c>
      <c r="L75" s="246">
        <v>8.33</v>
      </c>
      <c r="M75" s="246">
        <v>1.7899999999999991</v>
      </c>
      <c r="N75" s="246">
        <v>7.05</v>
      </c>
      <c r="O75" s="249">
        <f t="shared" si="6"/>
        <v>6.3299999999999992</v>
      </c>
      <c r="P75" s="279"/>
      <c r="Q75" s="246">
        <v>8.0500000000000007</v>
      </c>
      <c r="R75" s="246">
        <v>5.46</v>
      </c>
      <c r="S75" s="246">
        <v>4.71</v>
      </c>
      <c r="T75" s="249">
        <f t="shared" si="7"/>
        <v>6.0733333333333341</v>
      </c>
      <c r="U75" s="251"/>
      <c r="V75" s="252">
        <f t="shared" si="8"/>
        <v>5.3327777777777774</v>
      </c>
      <c r="W75" s="253"/>
      <c r="X75" s="254">
        <v>1.3333333333333333</v>
      </c>
      <c r="Y75" s="255">
        <v>1</v>
      </c>
      <c r="Z75" s="256">
        <v>1.3</v>
      </c>
      <c r="AA75" s="253"/>
      <c r="AB75" s="257">
        <f t="shared" si="9"/>
        <v>4.9328333333333338</v>
      </c>
      <c r="AC75" s="258"/>
    </row>
    <row r="76" spans="1:29" s="260" customFormat="1">
      <c r="A76" s="241"/>
      <c r="B76" s="242" t="s">
        <v>322</v>
      </c>
      <c r="C76" s="243"/>
      <c r="D76" s="267"/>
      <c r="E76" s="244" t="s">
        <v>247</v>
      </c>
      <c r="F76" s="259"/>
      <c r="G76" s="246">
        <v>2.4000000000000004</v>
      </c>
      <c r="H76" s="247">
        <v>3.1900000000000004</v>
      </c>
      <c r="I76" s="246">
        <f t="shared" si="5"/>
        <v>2.7950000000000004</v>
      </c>
      <c r="J76" s="274"/>
      <c r="K76" s="246">
        <v>7.76</v>
      </c>
      <c r="L76" s="246">
        <v>8.42</v>
      </c>
      <c r="M76" s="246">
        <v>1.6400000000000006</v>
      </c>
      <c r="N76" s="246">
        <v>4.8</v>
      </c>
      <c r="O76" s="249">
        <f t="shared" si="6"/>
        <v>6.3129999999999997</v>
      </c>
      <c r="P76" s="279"/>
      <c r="Q76" s="246">
        <v>5.4</v>
      </c>
      <c r="R76" s="246">
        <v>7.62</v>
      </c>
      <c r="S76" s="246">
        <v>7.48</v>
      </c>
      <c r="T76" s="249">
        <f t="shared" si="7"/>
        <v>6.833333333333333</v>
      </c>
      <c r="U76" s="251"/>
      <c r="V76" s="252">
        <f t="shared" si="8"/>
        <v>5.3137777777777773</v>
      </c>
      <c r="W76" s="253"/>
      <c r="X76" s="254">
        <v>1</v>
      </c>
      <c r="Y76" s="255">
        <v>1</v>
      </c>
      <c r="Z76" s="256">
        <v>0.9</v>
      </c>
      <c r="AA76" s="253"/>
      <c r="AB76" s="257">
        <f t="shared" si="9"/>
        <v>4.8823999999999996</v>
      </c>
      <c r="AC76" s="258"/>
    </row>
    <row r="77" spans="1:29" s="260" customFormat="1">
      <c r="A77" s="241"/>
      <c r="B77" s="242" t="s">
        <v>323</v>
      </c>
      <c r="C77" s="243"/>
      <c r="D77" s="243" t="s">
        <v>265</v>
      </c>
      <c r="E77" s="244" t="s">
        <v>268</v>
      </c>
      <c r="F77" s="266"/>
      <c r="G77" s="246">
        <v>6.79</v>
      </c>
      <c r="H77" s="247">
        <v>3.91</v>
      </c>
      <c r="I77" s="246">
        <f t="shared" si="5"/>
        <v>5.35</v>
      </c>
      <c r="J77" s="274"/>
      <c r="K77" s="246">
        <v>4.5999999999999996</v>
      </c>
      <c r="L77" s="246">
        <v>4.0999999999999996</v>
      </c>
      <c r="M77" s="246">
        <v>2.25</v>
      </c>
      <c r="N77" s="246">
        <v>5.37</v>
      </c>
      <c r="O77" s="249">
        <f t="shared" si="6"/>
        <v>3.8759999999999999</v>
      </c>
      <c r="P77" s="279"/>
      <c r="Q77" s="246">
        <v>4.6399999999999997</v>
      </c>
      <c r="R77" s="246">
        <v>5.94</v>
      </c>
      <c r="S77" s="246">
        <v>5.07</v>
      </c>
      <c r="T77" s="249">
        <f t="shared" si="7"/>
        <v>5.2166666666666668</v>
      </c>
      <c r="U77" s="262"/>
      <c r="V77" s="252">
        <f t="shared" si="8"/>
        <v>4.814222222222222</v>
      </c>
      <c r="W77" s="253"/>
      <c r="X77" s="254">
        <v>4.8666666666666671</v>
      </c>
      <c r="Y77" s="272">
        <v>7.6</v>
      </c>
      <c r="Z77" s="256">
        <v>7</v>
      </c>
      <c r="AA77" s="253"/>
      <c r="AB77" s="257">
        <f t="shared" si="9"/>
        <v>4.8194666666666652</v>
      </c>
      <c r="AC77" s="258"/>
    </row>
    <row r="78" spans="1:29" s="260" customFormat="1">
      <c r="A78" s="241"/>
      <c r="B78" s="242" t="s">
        <v>324</v>
      </c>
      <c r="C78" s="243"/>
      <c r="D78" s="243"/>
      <c r="E78" s="244" t="s">
        <v>251</v>
      </c>
      <c r="F78" s="264"/>
      <c r="G78" s="246">
        <v>5.05</v>
      </c>
      <c r="H78" s="247">
        <v>5.01</v>
      </c>
      <c r="I78" s="246">
        <f t="shared" si="5"/>
        <v>5.0299999999999994</v>
      </c>
      <c r="J78" s="274"/>
      <c r="K78" s="246">
        <v>4.5</v>
      </c>
      <c r="L78" s="246">
        <v>4.3899999999999997</v>
      </c>
      <c r="M78" s="246">
        <v>4.79</v>
      </c>
      <c r="N78" s="246">
        <v>7.09</v>
      </c>
      <c r="O78" s="249">
        <f t="shared" si="6"/>
        <v>4.6634999999999991</v>
      </c>
      <c r="P78" s="279"/>
      <c r="Q78" s="246">
        <v>7.18</v>
      </c>
      <c r="R78" s="246">
        <v>6.34</v>
      </c>
      <c r="S78" s="246">
        <v>2.75</v>
      </c>
      <c r="T78" s="249">
        <f t="shared" si="7"/>
        <v>5.4233333333333329</v>
      </c>
      <c r="U78" s="262"/>
      <c r="V78" s="252">
        <f t="shared" si="8"/>
        <v>5.0389444444444438</v>
      </c>
      <c r="W78" s="253"/>
      <c r="X78" s="254">
        <v>2.6666666666666665</v>
      </c>
      <c r="Y78" s="255">
        <v>8.6999999999999993</v>
      </c>
      <c r="Z78" s="256">
        <v>6.2</v>
      </c>
      <c r="AA78" s="253"/>
      <c r="AB78" s="257">
        <f t="shared" si="9"/>
        <v>4.8017166666666657</v>
      </c>
      <c r="AC78" s="258"/>
    </row>
    <row r="79" spans="1:29" s="260" customFormat="1">
      <c r="B79" s="242" t="s">
        <v>325</v>
      </c>
      <c r="C79" s="243"/>
      <c r="D79" s="267"/>
      <c r="E79" s="244" t="s">
        <v>249</v>
      </c>
      <c r="F79" s="234"/>
      <c r="G79" s="246">
        <v>3.21</v>
      </c>
      <c r="H79" s="247">
        <v>3.25</v>
      </c>
      <c r="I79" s="246">
        <f t="shared" si="5"/>
        <v>3.23</v>
      </c>
      <c r="J79" s="274"/>
      <c r="K79" s="246">
        <v>7.57</v>
      </c>
      <c r="L79" s="246">
        <v>5.93</v>
      </c>
      <c r="M79" s="246">
        <v>3.8600000000000003</v>
      </c>
      <c r="N79" s="246">
        <v>6.4</v>
      </c>
      <c r="O79" s="249">
        <f t="shared" si="6"/>
        <v>6.01</v>
      </c>
      <c r="P79" s="279"/>
      <c r="Q79" s="246">
        <v>3.33</v>
      </c>
      <c r="R79" s="246">
        <v>7.6</v>
      </c>
      <c r="S79" s="246">
        <v>5.33</v>
      </c>
      <c r="T79" s="249">
        <f t="shared" si="7"/>
        <v>5.419999999999999</v>
      </c>
      <c r="U79" s="251"/>
      <c r="V79" s="252">
        <f t="shared" si="8"/>
        <v>4.8866666666666667</v>
      </c>
      <c r="W79" s="253"/>
      <c r="X79" s="254">
        <v>3.7666666666666666</v>
      </c>
      <c r="Y79" s="255">
        <v>1.8</v>
      </c>
      <c r="Z79" s="256">
        <v>5.8</v>
      </c>
      <c r="AA79" s="253"/>
      <c r="AB79" s="257">
        <f t="shared" si="9"/>
        <v>4.7746666666666666</v>
      </c>
      <c r="AC79" s="263"/>
    </row>
    <row r="80" spans="1:29" s="260" customFormat="1">
      <c r="B80" s="242" t="s">
        <v>326</v>
      </c>
      <c r="C80" s="243"/>
      <c r="D80" s="243" t="s">
        <v>265</v>
      </c>
      <c r="E80" s="244" t="s">
        <v>268</v>
      </c>
      <c r="F80" s="266"/>
      <c r="G80" s="246">
        <v>4.33</v>
      </c>
      <c r="H80" s="247">
        <v>3.95</v>
      </c>
      <c r="I80" s="246">
        <f t="shared" si="5"/>
        <v>4.1400000000000006</v>
      </c>
      <c r="J80" s="274"/>
      <c r="K80" s="246">
        <v>5.87</v>
      </c>
      <c r="L80" s="246">
        <v>6.38</v>
      </c>
      <c r="M80" s="246">
        <v>1.9000000000000004</v>
      </c>
      <c r="N80" s="246">
        <v>5.93</v>
      </c>
      <c r="O80" s="249">
        <f t="shared" si="6"/>
        <v>5.0589999999999993</v>
      </c>
      <c r="P80" s="279"/>
      <c r="Q80" s="246">
        <v>4.8899999999999997</v>
      </c>
      <c r="R80" s="246">
        <v>6.32</v>
      </c>
      <c r="S80" s="246">
        <v>5.39</v>
      </c>
      <c r="T80" s="249">
        <f t="shared" si="7"/>
        <v>5.5333333333333341</v>
      </c>
      <c r="U80" s="251"/>
      <c r="V80" s="252">
        <f t="shared" si="8"/>
        <v>4.9107777777777777</v>
      </c>
      <c r="W80" s="253"/>
      <c r="X80" s="254">
        <v>3.4333333333333336</v>
      </c>
      <c r="Y80" s="255">
        <v>9.3000000000000007</v>
      </c>
      <c r="Z80" s="256">
        <v>6.4</v>
      </c>
      <c r="AA80" s="253"/>
      <c r="AB80" s="257">
        <f t="shared" si="9"/>
        <v>4.7630333333333343</v>
      </c>
      <c r="AC80" s="258"/>
    </row>
    <row r="81" spans="1:29" s="260" customFormat="1">
      <c r="B81" s="242" t="s">
        <v>327</v>
      </c>
      <c r="C81" s="243"/>
      <c r="D81" s="243"/>
      <c r="E81" s="244" t="s">
        <v>268</v>
      </c>
      <c r="F81" s="259"/>
      <c r="G81" s="246">
        <v>6.73</v>
      </c>
      <c r="H81" s="247">
        <v>3.96</v>
      </c>
      <c r="I81" s="246">
        <f t="shared" si="5"/>
        <v>5.3450000000000006</v>
      </c>
      <c r="J81" s="276"/>
      <c r="K81" s="246">
        <v>3.74</v>
      </c>
      <c r="L81" s="246">
        <v>4.4800000000000004</v>
      </c>
      <c r="M81" s="246">
        <v>4.87</v>
      </c>
      <c r="N81" s="246">
        <v>3.3</v>
      </c>
      <c r="O81" s="249">
        <f t="shared" si="6"/>
        <v>4.2595000000000001</v>
      </c>
      <c r="P81" s="277"/>
      <c r="Q81" s="246">
        <v>5.41</v>
      </c>
      <c r="R81" s="246">
        <v>6.33</v>
      </c>
      <c r="S81" s="246">
        <v>4.68</v>
      </c>
      <c r="T81" s="249">
        <f t="shared" si="7"/>
        <v>5.4733333333333336</v>
      </c>
      <c r="U81" s="251"/>
      <c r="V81" s="252">
        <f t="shared" si="8"/>
        <v>5.0259444444444448</v>
      </c>
      <c r="W81" s="253"/>
      <c r="X81" s="254">
        <v>2.3333333333333335</v>
      </c>
      <c r="Y81" s="255">
        <v>8.6999999999999993</v>
      </c>
      <c r="Z81" s="256">
        <v>5.3</v>
      </c>
      <c r="AA81" s="253"/>
      <c r="AB81" s="257">
        <f t="shared" si="9"/>
        <v>4.756683333333334</v>
      </c>
      <c r="AC81" s="258"/>
    </row>
    <row r="82" spans="1:29" s="260" customFormat="1">
      <c r="A82" s="241"/>
      <c r="B82" s="242" t="s">
        <v>328</v>
      </c>
      <c r="C82" s="243"/>
      <c r="D82" s="267"/>
      <c r="E82" s="244" t="s">
        <v>256</v>
      </c>
      <c r="F82" s="259"/>
      <c r="G82" s="246">
        <v>4.25</v>
      </c>
      <c r="H82" s="247">
        <v>1.0199999999999996</v>
      </c>
      <c r="I82" s="246">
        <f t="shared" si="5"/>
        <v>2.6349999999999998</v>
      </c>
      <c r="J82" s="274"/>
      <c r="K82" s="246">
        <v>6.7200000000000006</v>
      </c>
      <c r="L82" s="246">
        <v>5.31</v>
      </c>
      <c r="M82" s="246">
        <v>1.3100000000000005</v>
      </c>
      <c r="N82" s="246">
        <v>3.9800000000000004</v>
      </c>
      <c r="O82" s="249">
        <f t="shared" si="6"/>
        <v>4.7370000000000001</v>
      </c>
      <c r="P82" s="279"/>
      <c r="Q82" s="246">
        <v>6.7799999999999994</v>
      </c>
      <c r="R82" s="246">
        <v>6.5600000000000005</v>
      </c>
      <c r="S82" s="246">
        <v>6.88</v>
      </c>
      <c r="T82" s="249">
        <f t="shared" si="7"/>
        <v>6.7399999999999993</v>
      </c>
      <c r="U82" s="262"/>
      <c r="V82" s="252">
        <f t="shared" si="8"/>
        <v>4.7039999999999997</v>
      </c>
      <c r="W82" s="253"/>
      <c r="X82" s="254">
        <v>4.2</v>
      </c>
      <c r="Y82" s="255">
        <v>3.1</v>
      </c>
      <c r="Z82" s="256">
        <v>4.0999999999999996</v>
      </c>
      <c r="AA82" s="253"/>
      <c r="AB82" s="257">
        <f t="shared" si="9"/>
        <v>4.6535999999999991</v>
      </c>
      <c r="AC82" s="258"/>
    </row>
    <row r="83" spans="1:29" s="260" customFormat="1">
      <c r="A83" s="241"/>
      <c r="B83" s="242" t="s">
        <v>329</v>
      </c>
      <c r="C83" s="243"/>
      <c r="D83" s="243"/>
      <c r="E83" s="244" t="s">
        <v>251</v>
      </c>
      <c r="F83" s="264"/>
      <c r="G83" s="246">
        <v>6.58</v>
      </c>
      <c r="H83" s="247">
        <v>5.66</v>
      </c>
      <c r="I83" s="246">
        <f t="shared" si="5"/>
        <v>6.12</v>
      </c>
      <c r="J83" s="274"/>
      <c r="K83" s="246">
        <v>4.3899999999999997</v>
      </c>
      <c r="L83" s="246">
        <v>2.9299999999999997</v>
      </c>
      <c r="M83" s="246">
        <v>4.71</v>
      </c>
      <c r="N83" s="246">
        <v>2.5199999999999996</v>
      </c>
      <c r="O83" s="249">
        <f t="shared" si="6"/>
        <v>3.8654999999999995</v>
      </c>
      <c r="P83" s="279"/>
      <c r="Q83" s="246">
        <v>6.32</v>
      </c>
      <c r="R83" s="246">
        <v>4.57</v>
      </c>
      <c r="S83" s="246">
        <v>3</v>
      </c>
      <c r="T83" s="249">
        <f t="shared" si="7"/>
        <v>4.63</v>
      </c>
      <c r="U83" s="262"/>
      <c r="V83" s="252">
        <f t="shared" si="8"/>
        <v>4.8718333333333339</v>
      </c>
      <c r="W83" s="253"/>
      <c r="X83" s="254">
        <v>2.6666666666666665</v>
      </c>
      <c r="Y83" s="255">
        <v>0.2</v>
      </c>
      <c r="Z83" s="256">
        <v>4.5</v>
      </c>
      <c r="AA83" s="253"/>
      <c r="AB83" s="257">
        <f t="shared" si="9"/>
        <v>4.6513166666666663</v>
      </c>
      <c r="AC83" s="258"/>
    </row>
    <row r="84" spans="1:29" s="260" customFormat="1">
      <c r="B84" s="242" t="s">
        <v>330</v>
      </c>
      <c r="C84" s="243"/>
      <c r="D84" s="243"/>
      <c r="E84" s="244" t="s">
        <v>247</v>
      </c>
      <c r="F84" s="259"/>
      <c r="G84" s="246">
        <v>1.7599999999999998</v>
      </c>
      <c r="H84" s="247">
        <v>2.3200000000000003</v>
      </c>
      <c r="I84" s="246">
        <f t="shared" si="5"/>
        <v>2.04</v>
      </c>
      <c r="J84" s="274"/>
      <c r="K84" s="246">
        <v>7.3900000000000006</v>
      </c>
      <c r="L84" s="246">
        <v>7.5</v>
      </c>
      <c r="M84" s="246">
        <v>1.9600000000000009</v>
      </c>
      <c r="N84" s="246">
        <v>5.89</v>
      </c>
      <c r="O84" s="249">
        <f t="shared" si="6"/>
        <v>5.9960000000000004</v>
      </c>
      <c r="P84" s="279"/>
      <c r="Q84" s="246">
        <v>4.74</v>
      </c>
      <c r="R84" s="246">
        <v>7.35</v>
      </c>
      <c r="S84" s="246">
        <v>7.08</v>
      </c>
      <c r="T84" s="249">
        <f t="shared" si="7"/>
        <v>6.3900000000000006</v>
      </c>
      <c r="U84" s="251"/>
      <c r="V84" s="252">
        <f t="shared" si="8"/>
        <v>4.8086666666666673</v>
      </c>
      <c r="W84" s="253"/>
      <c r="X84" s="254">
        <v>3.1</v>
      </c>
      <c r="Y84" s="255">
        <v>8.6999999999999993</v>
      </c>
      <c r="Z84" s="256">
        <v>5.3</v>
      </c>
      <c r="AA84" s="253"/>
      <c r="AB84" s="257">
        <f t="shared" si="9"/>
        <v>4.6378000000000004</v>
      </c>
      <c r="AC84" s="263"/>
    </row>
    <row r="85" spans="1:29" s="260" customFormat="1">
      <c r="B85" s="242" t="s">
        <v>331</v>
      </c>
      <c r="C85" s="243"/>
      <c r="D85" s="243" t="s">
        <v>265</v>
      </c>
      <c r="E85" s="244" t="s">
        <v>268</v>
      </c>
      <c r="F85" s="259"/>
      <c r="G85" s="246">
        <v>9.1</v>
      </c>
      <c r="H85" s="247">
        <v>5.42</v>
      </c>
      <c r="I85" s="246">
        <f t="shared" si="5"/>
        <v>7.26</v>
      </c>
      <c r="J85" s="274"/>
      <c r="K85" s="246">
        <v>3.8099999999999996</v>
      </c>
      <c r="L85" s="246">
        <v>2.5499999999999998</v>
      </c>
      <c r="M85" s="246">
        <v>1.8599999999999994</v>
      </c>
      <c r="N85" s="246">
        <v>3.45</v>
      </c>
      <c r="O85" s="249">
        <f t="shared" si="6"/>
        <v>2.8634999999999993</v>
      </c>
      <c r="P85" s="279"/>
      <c r="Q85" s="246">
        <v>5.64</v>
      </c>
      <c r="R85" s="246">
        <v>3.91</v>
      </c>
      <c r="S85" s="246">
        <v>4.24</v>
      </c>
      <c r="T85" s="249">
        <f t="shared" si="7"/>
        <v>4.5966666666666667</v>
      </c>
      <c r="U85" s="251"/>
      <c r="V85" s="252">
        <f t="shared" si="8"/>
        <v>4.9067222222222222</v>
      </c>
      <c r="W85" s="253"/>
      <c r="X85" s="254">
        <v>1.6666666666666667</v>
      </c>
      <c r="Y85" s="255">
        <v>3.1</v>
      </c>
      <c r="Z85" s="256">
        <v>2.4</v>
      </c>
      <c r="AA85" s="253"/>
      <c r="AB85" s="257">
        <f t="shared" si="9"/>
        <v>4.5827166666666672</v>
      </c>
      <c r="AC85" s="258"/>
    </row>
    <row r="86" spans="1:29" s="260" customFormat="1">
      <c r="A86" s="241"/>
      <c r="B86" s="242" t="s">
        <v>332</v>
      </c>
      <c r="C86" s="243"/>
      <c r="D86" s="267"/>
      <c r="E86" s="244" t="s">
        <v>256</v>
      </c>
      <c r="F86" s="266"/>
      <c r="G86" s="246">
        <v>4.18</v>
      </c>
      <c r="H86" s="247">
        <v>2.08</v>
      </c>
      <c r="I86" s="246">
        <f t="shared" si="5"/>
        <v>3.13</v>
      </c>
      <c r="J86" s="274"/>
      <c r="K86" s="246">
        <v>5.0199999999999996</v>
      </c>
      <c r="L86" s="246">
        <v>6.26</v>
      </c>
      <c r="M86" s="246">
        <v>1.6999999999999993</v>
      </c>
      <c r="N86" s="246">
        <v>4.8899999999999997</v>
      </c>
      <c r="O86" s="249">
        <f t="shared" si="6"/>
        <v>4.6174999999999997</v>
      </c>
      <c r="P86" s="279"/>
      <c r="Q86" s="246">
        <v>5.49</v>
      </c>
      <c r="R86" s="246">
        <v>7.68</v>
      </c>
      <c r="S86" s="246">
        <v>7.79</v>
      </c>
      <c r="T86" s="249">
        <f t="shared" si="7"/>
        <v>6.9866666666666672</v>
      </c>
      <c r="U86" s="251"/>
      <c r="V86" s="252">
        <f t="shared" si="8"/>
        <v>4.9113888888888892</v>
      </c>
      <c r="W86" s="253"/>
      <c r="X86" s="254">
        <v>1.3333333333333333</v>
      </c>
      <c r="Y86" s="255">
        <v>9.6999999999999993</v>
      </c>
      <c r="Z86" s="256">
        <v>3.1</v>
      </c>
      <c r="AA86" s="253"/>
      <c r="AB86" s="257">
        <f t="shared" si="9"/>
        <v>4.5535833333333331</v>
      </c>
      <c r="AC86" s="258"/>
    </row>
    <row r="87" spans="1:29" s="260" customFormat="1">
      <c r="B87" s="242" t="s">
        <v>333</v>
      </c>
      <c r="C87" s="243"/>
      <c r="D87" s="243" t="s">
        <v>263</v>
      </c>
      <c r="E87" s="244" t="s">
        <v>251</v>
      </c>
      <c r="F87" s="264"/>
      <c r="G87" s="246">
        <v>2.3499999999999996</v>
      </c>
      <c r="H87" s="247">
        <v>7.05</v>
      </c>
      <c r="I87" s="246">
        <f t="shared" si="5"/>
        <v>4.6999999999999993</v>
      </c>
      <c r="J87" s="274"/>
      <c r="K87" s="246">
        <v>3.5300000000000002</v>
      </c>
      <c r="L87" s="246">
        <v>4.51</v>
      </c>
      <c r="M87" s="246">
        <v>3.55</v>
      </c>
      <c r="N87" s="246">
        <v>3.62</v>
      </c>
      <c r="O87" s="249">
        <f t="shared" si="6"/>
        <v>3.8825000000000003</v>
      </c>
      <c r="P87" s="279"/>
      <c r="Q87" s="246">
        <v>5.96</v>
      </c>
      <c r="R87" s="246">
        <v>5.85</v>
      </c>
      <c r="S87" s="246">
        <v>4.43</v>
      </c>
      <c r="T87" s="249">
        <f t="shared" si="7"/>
        <v>5.4133333333333331</v>
      </c>
      <c r="U87" s="262"/>
      <c r="V87" s="252">
        <f t="shared" si="8"/>
        <v>4.6652777777777779</v>
      </c>
      <c r="W87" s="253"/>
      <c r="X87" s="254">
        <v>3.3333333333333335</v>
      </c>
      <c r="Y87" s="255">
        <v>8.6999999999999993</v>
      </c>
      <c r="Z87" s="256">
        <v>8</v>
      </c>
      <c r="AA87" s="253"/>
      <c r="AB87" s="257">
        <f t="shared" si="9"/>
        <v>4.5320833333333326</v>
      </c>
      <c r="AC87" s="258"/>
    </row>
    <row r="88" spans="1:29" s="260" customFormat="1">
      <c r="B88" s="242" t="s">
        <v>334</v>
      </c>
      <c r="C88" s="243"/>
      <c r="D88" s="243" t="s">
        <v>246</v>
      </c>
      <c r="E88" s="244" t="s">
        <v>251</v>
      </c>
      <c r="F88" s="234"/>
      <c r="G88" s="246">
        <v>1.2899999999999991</v>
      </c>
      <c r="H88" s="247">
        <v>6.87</v>
      </c>
      <c r="I88" s="246">
        <f t="shared" si="5"/>
        <v>4.08</v>
      </c>
      <c r="J88" s="274"/>
      <c r="K88" s="246">
        <v>2.5599999999999996</v>
      </c>
      <c r="L88" s="246">
        <v>3.74</v>
      </c>
      <c r="M88" s="246">
        <v>4.24</v>
      </c>
      <c r="N88" s="246">
        <v>6.6099999999999994</v>
      </c>
      <c r="O88" s="249">
        <f t="shared" si="6"/>
        <v>3.5954999999999995</v>
      </c>
      <c r="P88" s="279"/>
      <c r="Q88" s="246">
        <v>7.96</v>
      </c>
      <c r="R88" s="246">
        <v>5.44</v>
      </c>
      <c r="S88" s="246">
        <v>3.75</v>
      </c>
      <c r="T88" s="249">
        <f t="shared" si="7"/>
        <v>5.7166666666666659</v>
      </c>
      <c r="U88" s="251"/>
      <c r="V88" s="252">
        <f t="shared" si="8"/>
        <v>4.4640555555555546</v>
      </c>
      <c r="W88" s="253"/>
      <c r="X88" s="254">
        <v>4.8666666666666671</v>
      </c>
      <c r="Y88" s="255">
        <v>0.2</v>
      </c>
      <c r="Z88" s="256">
        <v>6.3</v>
      </c>
      <c r="AA88" s="253"/>
      <c r="AB88" s="257">
        <f t="shared" si="9"/>
        <v>4.5043166666666661</v>
      </c>
      <c r="AC88" s="263"/>
    </row>
    <row r="89" spans="1:29" s="260" customFormat="1">
      <c r="B89" s="242" t="s">
        <v>335</v>
      </c>
      <c r="C89" s="243"/>
      <c r="D89" s="243"/>
      <c r="E89" s="244" t="s">
        <v>256</v>
      </c>
      <c r="F89" s="234"/>
      <c r="G89" s="246">
        <v>5.41</v>
      </c>
      <c r="H89" s="247">
        <v>2.5</v>
      </c>
      <c r="I89" s="246">
        <f t="shared" si="5"/>
        <v>3.9550000000000001</v>
      </c>
      <c r="J89" s="274"/>
      <c r="K89" s="246">
        <v>4.83</v>
      </c>
      <c r="L89" s="246">
        <v>5.08</v>
      </c>
      <c r="M89" s="246">
        <v>1.1899999999999995</v>
      </c>
      <c r="N89" s="246">
        <v>3.8200000000000003</v>
      </c>
      <c r="O89" s="249">
        <f t="shared" si="6"/>
        <v>3.9569999999999994</v>
      </c>
      <c r="P89" s="279"/>
      <c r="Q89" s="246">
        <v>5.83</v>
      </c>
      <c r="R89" s="246">
        <v>6.59</v>
      </c>
      <c r="S89" s="246">
        <v>3.5599999999999996</v>
      </c>
      <c r="T89" s="249">
        <f t="shared" si="7"/>
        <v>5.3266666666666671</v>
      </c>
      <c r="U89" s="262"/>
      <c r="V89" s="252">
        <f t="shared" si="8"/>
        <v>4.4128888888888893</v>
      </c>
      <c r="W89" s="253"/>
      <c r="X89" s="254">
        <v>4.8666666666666671</v>
      </c>
      <c r="Y89" s="255">
        <v>3.1</v>
      </c>
      <c r="Z89" s="256">
        <v>6.1</v>
      </c>
      <c r="AA89" s="253"/>
      <c r="AB89" s="257">
        <f t="shared" si="9"/>
        <v>4.4582666666666659</v>
      </c>
      <c r="AC89" s="258"/>
    </row>
    <row r="90" spans="1:29" s="260" customFormat="1">
      <c r="B90" s="242" t="s">
        <v>336</v>
      </c>
      <c r="C90" s="243"/>
      <c r="D90" s="243"/>
      <c r="E90" s="244" t="s">
        <v>247</v>
      </c>
      <c r="F90" s="266"/>
      <c r="G90" s="246">
        <v>2.0099999999999998</v>
      </c>
      <c r="H90" s="247">
        <v>3.37</v>
      </c>
      <c r="I90" s="246">
        <f t="shared" si="5"/>
        <v>2.69</v>
      </c>
      <c r="J90" s="274"/>
      <c r="K90" s="246">
        <v>6.42</v>
      </c>
      <c r="L90" s="246">
        <v>7.4700000000000006</v>
      </c>
      <c r="M90" s="246">
        <v>1.7599999999999998</v>
      </c>
      <c r="N90" s="246">
        <v>7.63</v>
      </c>
      <c r="O90" s="249">
        <f t="shared" si="6"/>
        <v>5.6829999999999989</v>
      </c>
      <c r="P90" s="279"/>
      <c r="Q90" s="246">
        <v>5.32</v>
      </c>
      <c r="R90" s="246">
        <v>6.67</v>
      </c>
      <c r="S90" s="246">
        <v>4.8</v>
      </c>
      <c r="T90" s="249">
        <f t="shared" si="7"/>
        <v>5.5966666666666667</v>
      </c>
      <c r="U90" s="262"/>
      <c r="V90" s="252">
        <f t="shared" si="8"/>
        <v>4.6565555555555553</v>
      </c>
      <c r="W90" s="253"/>
      <c r="X90" s="254">
        <v>2</v>
      </c>
      <c r="Y90" s="255">
        <v>6.2</v>
      </c>
      <c r="Z90" s="256">
        <v>3.8</v>
      </c>
      <c r="AA90" s="253"/>
      <c r="AB90" s="257">
        <f t="shared" si="9"/>
        <v>4.3909000000000002</v>
      </c>
      <c r="AC90" s="258"/>
    </row>
    <row r="91" spans="1:29" s="260" customFormat="1">
      <c r="A91" s="241"/>
      <c r="B91" s="242" t="s">
        <v>337</v>
      </c>
      <c r="C91" s="243"/>
      <c r="D91" s="243"/>
      <c r="E91" s="244" t="s">
        <v>247</v>
      </c>
      <c r="F91" s="259"/>
      <c r="G91" s="246">
        <v>2.1399999999999997</v>
      </c>
      <c r="H91" s="247">
        <v>1.1500000000000004</v>
      </c>
      <c r="I91" s="246">
        <f t="shared" si="5"/>
        <v>1.645</v>
      </c>
      <c r="J91" s="274"/>
      <c r="K91" s="246">
        <v>5.23</v>
      </c>
      <c r="L91" s="246">
        <v>6.68</v>
      </c>
      <c r="M91" s="246">
        <v>3.8200000000000003</v>
      </c>
      <c r="N91" s="246">
        <v>6.49</v>
      </c>
      <c r="O91" s="249">
        <f t="shared" si="6"/>
        <v>5.4480000000000004</v>
      </c>
      <c r="P91" s="279"/>
      <c r="Q91" s="246">
        <v>4.58</v>
      </c>
      <c r="R91" s="246">
        <v>6.02</v>
      </c>
      <c r="S91" s="246">
        <v>7.76</v>
      </c>
      <c r="T91" s="249">
        <f t="shared" si="7"/>
        <v>6.12</v>
      </c>
      <c r="U91" s="251"/>
      <c r="V91" s="252">
        <f t="shared" si="8"/>
        <v>4.4043333333333337</v>
      </c>
      <c r="W91" s="253"/>
      <c r="X91" s="254">
        <v>4.2</v>
      </c>
      <c r="Y91" s="255">
        <v>6.2</v>
      </c>
      <c r="Z91" s="256">
        <v>5.7</v>
      </c>
      <c r="AA91" s="253"/>
      <c r="AB91" s="257">
        <f t="shared" si="9"/>
        <v>4.3838999999999997</v>
      </c>
      <c r="AC91" s="258"/>
    </row>
    <row r="92" spans="1:29" s="260" customFormat="1">
      <c r="B92" s="242" t="s">
        <v>338</v>
      </c>
      <c r="C92" s="243"/>
      <c r="D92" s="243"/>
      <c r="E92" s="244" t="s">
        <v>251</v>
      </c>
      <c r="F92" s="234"/>
      <c r="G92" s="246">
        <v>3.4000000000000004</v>
      </c>
      <c r="H92" s="247">
        <v>3.1799999999999997</v>
      </c>
      <c r="I92" s="246">
        <f t="shared" si="5"/>
        <v>3.29</v>
      </c>
      <c r="J92" s="274"/>
      <c r="K92" s="246">
        <v>5.05</v>
      </c>
      <c r="L92" s="246">
        <v>5.43</v>
      </c>
      <c r="M92" s="246">
        <v>1.1999999999999993</v>
      </c>
      <c r="N92" s="246">
        <v>2.6100000000000003</v>
      </c>
      <c r="O92" s="249">
        <f t="shared" si="6"/>
        <v>4.0984999999999996</v>
      </c>
      <c r="P92" s="279"/>
      <c r="Q92" s="246">
        <v>8.68</v>
      </c>
      <c r="R92" s="246">
        <v>6.26</v>
      </c>
      <c r="S92" s="246">
        <v>4.57</v>
      </c>
      <c r="T92" s="249">
        <f t="shared" si="7"/>
        <v>6.503333333333333</v>
      </c>
      <c r="U92" s="262"/>
      <c r="V92" s="252">
        <f t="shared" si="8"/>
        <v>4.6306111111111106</v>
      </c>
      <c r="W92" s="253"/>
      <c r="X92" s="254">
        <v>2</v>
      </c>
      <c r="Y92" s="255">
        <v>3.1</v>
      </c>
      <c r="Z92" s="256">
        <v>3.2</v>
      </c>
      <c r="AA92" s="253"/>
      <c r="AB92" s="257">
        <f t="shared" si="9"/>
        <v>4.3675499999999996</v>
      </c>
      <c r="AC92" s="258"/>
    </row>
    <row r="93" spans="1:29" s="260" customFormat="1">
      <c r="B93" s="242" t="s">
        <v>339</v>
      </c>
      <c r="C93" s="243"/>
      <c r="D93" s="243"/>
      <c r="E93" s="244" t="s">
        <v>268</v>
      </c>
      <c r="F93" s="278"/>
      <c r="G93" s="246">
        <v>6.79</v>
      </c>
      <c r="H93" s="247">
        <v>3.01</v>
      </c>
      <c r="I93" s="246">
        <f t="shared" si="5"/>
        <v>4.9000000000000004</v>
      </c>
      <c r="J93" s="274"/>
      <c r="K93" s="246">
        <v>2.71</v>
      </c>
      <c r="L93" s="246">
        <v>4.1399999999999997</v>
      </c>
      <c r="M93" s="246">
        <v>1.8900000000000006</v>
      </c>
      <c r="N93" s="246">
        <v>3.9000000000000004</v>
      </c>
      <c r="O93" s="249">
        <f t="shared" si="6"/>
        <v>3.0649999999999999</v>
      </c>
      <c r="P93" s="279"/>
      <c r="Q93" s="246">
        <v>4.2300000000000004</v>
      </c>
      <c r="R93" s="246">
        <v>6.25</v>
      </c>
      <c r="S93" s="246">
        <v>3.3899999999999997</v>
      </c>
      <c r="T93" s="249">
        <f t="shared" si="7"/>
        <v>4.623333333333334</v>
      </c>
      <c r="U93" s="251"/>
      <c r="V93" s="252">
        <f t="shared" si="8"/>
        <v>4.1961111111111116</v>
      </c>
      <c r="W93" s="253"/>
      <c r="X93" s="254">
        <v>5.3000000000000007</v>
      </c>
      <c r="Y93" s="255">
        <v>8.6999999999999993</v>
      </c>
      <c r="Z93" s="256">
        <v>6.2</v>
      </c>
      <c r="AA93" s="253"/>
      <c r="AB93" s="257">
        <f t="shared" si="9"/>
        <v>4.3065000000000007</v>
      </c>
      <c r="AC93" s="258"/>
    </row>
    <row r="94" spans="1:29" s="260" customFormat="1">
      <c r="A94" s="241"/>
      <c r="B94" s="242" t="s">
        <v>340</v>
      </c>
      <c r="C94" s="243"/>
      <c r="D94" s="267"/>
      <c r="E94" s="244" t="s">
        <v>251</v>
      </c>
      <c r="F94" s="259"/>
      <c r="G94" s="246">
        <v>4.59</v>
      </c>
      <c r="H94" s="247">
        <v>4.58</v>
      </c>
      <c r="I94" s="246">
        <f t="shared" si="5"/>
        <v>4.585</v>
      </c>
      <c r="J94" s="274"/>
      <c r="K94" s="246">
        <v>3.13</v>
      </c>
      <c r="L94" s="246">
        <v>5.93</v>
      </c>
      <c r="M94" s="246">
        <v>3.6500000000000004</v>
      </c>
      <c r="N94" s="246">
        <v>3.25</v>
      </c>
      <c r="O94" s="249">
        <f t="shared" si="6"/>
        <v>4.2459999999999996</v>
      </c>
      <c r="P94" s="279"/>
      <c r="Q94" s="246">
        <v>4.22</v>
      </c>
      <c r="R94" s="246">
        <v>6.8100000000000005</v>
      </c>
      <c r="S94" s="246">
        <v>2.83</v>
      </c>
      <c r="T94" s="249">
        <f t="shared" si="7"/>
        <v>4.62</v>
      </c>
      <c r="U94" s="262"/>
      <c r="V94" s="252">
        <f t="shared" si="8"/>
        <v>4.4836666666666671</v>
      </c>
      <c r="W94" s="253"/>
      <c r="X94" s="254">
        <v>2.6666666666666665</v>
      </c>
      <c r="Y94" s="255">
        <v>8.6999999999999993</v>
      </c>
      <c r="Z94" s="256">
        <v>6.2</v>
      </c>
      <c r="AA94" s="253"/>
      <c r="AB94" s="257">
        <f t="shared" si="9"/>
        <v>4.3019666666666661</v>
      </c>
      <c r="AC94" s="258"/>
    </row>
    <row r="95" spans="1:29" s="260" customFormat="1">
      <c r="B95" s="242" t="s">
        <v>341</v>
      </c>
      <c r="C95" s="243"/>
      <c r="D95" s="243"/>
      <c r="E95" s="244" t="s">
        <v>251</v>
      </c>
      <c r="F95" s="234"/>
      <c r="G95" s="246">
        <v>3.74</v>
      </c>
      <c r="H95" s="247">
        <v>4.88</v>
      </c>
      <c r="I95" s="246">
        <f t="shared" si="5"/>
        <v>4.3100000000000005</v>
      </c>
      <c r="J95" s="274"/>
      <c r="K95" s="246">
        <v>2.0700000000000003</v>
      </c>
      <c r="L95" s="246">
        <v>3.34</v>
      </c>
      <c r="M95" s="246">
        <v>4.6900000000000004</v>
      </c>
      <c r="N95" s="246">
        <v>2.6399999999999997</v>
      </c>
      <c r="O95" s="249">
        <f t="shared" si="6"/>
        <v>3.198</v>
      </c>
      <c r="P95" s="279"/>
      <c r="Q95" s="246">
        <v>5.84</v>
      </c>
      <c r="R95" s="246">
        <v>5.78</v>
      </c>
      <c r="S95" s="246">
        <v>3.75</v>
      </c>
      <c r="T95" s="249">
        <f t="shared" si="7"/>
        <v>5.123333333333334</v>
      </c>
      <c r="U95" s="262"/>
      <c r="V95" s="252">
        <f t="shared" si="8"/>
        <v>4.2104444444444447</v>
      </c>
      <c r="W95" s="253"/>
      <c r="X95" s="254">
        <v>4.8666666666666671</v>
      </c>
      <c r="Y95" s="255">
        <v>9.6999999999999993</v>
      </c>
      <c r="Z95" s="256">
        <v>7.4</v>
      </c>
      <c r="AA95" s="253"/>
      <c r="AB95" s="257">
        <f t="shared" si="9"/>
        <v>4.2760666666666669</v>
      </c>
      <c r="AC95" s="263"/>
    </row>
    <row r="96" spans="1:29" s="260" customFormat="1">
      <c r="B96" s="242" t="s">
        <v>342</v>
      </c>
      <c r="C96" s="243"/>
      <c r="D96" s="243"/>
      <c r="E96" s="244" t="s">
        <v>249</v>
      </c>
      <c r="F96" s="234"/>
      <c r="G96" s="246">
        <v>1.8800000000000008</v>
      </c>
      <c r="H96" s="247">
        <v>3.25</v>
      </c>
      <c r="I96" s="246">
        <f t="shared" si="5"/>
        <v>2.5650000000000004</v>
      </c>
      <c r="J96" s="274"/>
      <c r="K96" s="246">
        <v>5.73</v>
      </c>
      <c r="L96" s="246">
        <v>4.95</v>
      </c>
      <c r="M96" s="246">
        <v>3.9800000000000004</v>
      </c>
      <c r="N96" s="246">
        <v>5.6</v>
      </c>
      <c r="O96" s="249">
        <f t="shared" si="6"/>
        <v>5.0130000000000008</v>
      </c>
      <c r="P96" s="279"/>
      <c r="Q96" s="246">
        <v>6.0600000000000005</v>
      </c>
      <c r="R96" s="246">
        <v>5.45</v>
      </c>
      <c r="S96" s="246">
        <v>6</v>
      </c>
      <c r="T96" s="249">
        <f t="shared" si="7"/>
        <v>5.8366666666666669</v>
      </c>
      <c r="U96" s="251"/>
      <c r="V96" s="252">
        <f t="shared" si="8"/>
        <v>4.4715555555555566</v>
      </c>
      <c r="W96" s="253"/>
      <c r="X96" s="254">
        <v>1.6666666666666667</v>
      </c>
      <c r="Y96" s="255">
        <v>1</v>
      </c>
      <c r="Z96" s="256">
        <v>2</v>
      </c>
      <c r="AA96" s="253"/>
      <c r="AB96" s="257">
        <f t="shared" si="9"/>
        <v>4.1910666666666678</v>
      </c>
      <c r="AC96" s="263"/>
    </row>
    <row r="97" spans="1:29" s="260" customFormat="1">
      <c r="A97" s="241"/>
      <c r="B97" s="242" t="s">
        <v>343</v>
      </c>
      <c r="C97" s="243"/>
      <c r="D97" s="243" t="s">
        <v>344</v>
      </c>
      <c r="E97" s="244" t="s">
        <v>256</v>
      </c>
      <c r="F97" s="266"/>
      <c r="G97" s="246">
        <v>4.17</v>
      </c>
      <c r="H97" s="247">
        <v>2.9400000000000004</v>
      </c>
      <c r="I97" s="246">
        <f t="shared" si="5"/>
        <v>3.5550000000000002</v>
      </c>
      <c r="J97" s="274"/>
      <c r="K97" s="246">
        <v>3.5300000000000002</v>
      </c>
      <c r="L97" s="246">
        <v>4.34</v>
      </c>
      <c r="M97" s="246">
        <v>1.3800000000000008</v>
      </c>
      <c r="N97" s="246">
        <v>2.25</v>
      </c>
      <c r="O97" s="249">
        <f t="shared" si="6"/>
        <v>3.2120000000000002</v>
      </c>
      <c r="P97" s="279"/>
      <c r="Q97" s="246">
        <v>7.41</v>
      </c>
      <c r="R97" s="246">
        <v>7.29</v>
      </c>
      <c r="S97" s="246">
        <v>4.75</v>
      </c>
      <c r="T97" s="249">
        <f t="shared" si="7"/>
        <v>6.4833333333333334</v>
      </c>
      <c r="U97" s="251"/>
      <c r="V97" s="252">
        <f t="shared" si="8"/>
        <v>4.4167777777777779</v>
      </c>
      <c r="W97" s="253"/>
      <c r="X97" s="254">
        <v>2</v>
      </c>
      <c r="Y97" s="255">
        <v>6.2</v>
      </c>
      <c r="Z97" s="256">
        <v>3.8</v>
      </c>
      <c r="AA97" s="253"/>
      <c r="AB97" s="257">
        <f t="shared" si="9"/>
        <v>4.1750999999999996</v>
      </c>
      <c r="AC97" s="258"/>
    </row>
    <row r="98" spans="1:29" s="260" customFormat="1">
      <c r="B98" s="242" t="s">
        <v>345</v>
      </c>
      <c r="C98" s="243"/>
      <c r="D98" s="243" t="s">
        <v>344</v>
      </c>
      <c r="E98" s="244" t="s">
        <v>251</v>
      </c>
      <c r="F98" s="266"/>
      <c r="G98" s="246">
        <v>4.62</v>
      </c>
      <c r="H98" s="247">
        <v>3.25</v>
      </c>
      <c r="I98" s="246">
        <f t="shared" si="5"/>
        <v>3.9350000000000001</v>
      </c>
      <c r="J98" s="274"/>
      <c r="K98" s="246">
        <v>4.58</v>
      </c>
      <c r="L98" s="246">
        <v>4.5</v>
      </c>
      <c r="M98" s="246">
        <v>1.2899999999999991</v>
      </c>
      <c r="N98" s="246">
        <v>2.41</v>
      </c>
      <c r="O98" s="249">
        <f t="shared" si="6"/>
        <v>3.6209999999999996</v>
      </c>
      <c r="P98" s="279"/>
      <c r="Q98" s="246">
        <v>6.55</v>
      </c>
      <c r="R98" s="246">
        <v>6.16</v>
      </c>
      <c r="S98" s="246">
        <v>3.42</v>
      </c>
      <c r="T98" s="249">
        <f t="shared" si="7"/>
        <v>5.3766666666666678</v>
      </c>
      <c r="U98" s="251"/>
      <c r="V98" s="252">
        <f t="shared" si="8"/>
        <v>4.310888888888889</v>
      </c>
      <c r="W98" s="253"/>
      <c r="X98" s="254">
        <v>2.6666666666666665</v>
      </c>
      <c r="Y98" s="255">
        <v>0.2</v>
      </c>
      <c r="Z98" s="256">
        <v>4.5</v>
      </c>
      <c r="AA98" s="253"/>
      <c r="AB98" s="257">
        <f t="shared" si="9"/>
        <v>4.146466666666667</v>
      </c>
      <c r="AC98" s="258"/>
    </row>
    <row r="99" spans="1:29" s="260" customFormat="1">
      <c r="B99" s="242" t="s">
        <v>346</v>
      </c>
      <c r="C99" s="243"/>
      <c r="D99" s="267"/>
      <c r="E99" s="244" t="s">
        <v>268</v>
      </c>
      <c r="F99" s="273"/>
      <c r="G99" s="246">
        <v>5.83</v>
      </c>
      <c r="H99" s="247">
        <v>4.5</v>
      </c>
      <c r="I99" s="246">
        <f t="shared" si="5"/>
        <v>5.165</v>
      </c>
      <c r="J99" s="274"/>
      <c r="K99" s="246">
        <v>3.0199999999999996</v>
      </c>
      <c r="L99" s="246">
        <v>3.24</v>
      </c>
      <c r="M99" s="246">
        <v>1.6099999999999994</v>
      </c>
      <c r="N99" s="246">
        <v>2.6799999999999997</v>
      </c>
      <c r="O99" s="249">
        <f t="shared" si="6"/>
        <v>2.7274999999999996</v>
      </c>
      <c r="P99" s="279"/>
      <c r="Q99" s="246">
        <v>7.2</v>
      </c>
      <c r="R99" s="246">
        <v>5.38</v>
      </c>
      <c r="S99" s="246">
        <v>3.17</v>
      </c>
      <c r="T99" s="249">
        <f t="shared" si="7"/>
        <v>5.25</v>
      </c>
      <c r="U99" s="251"/>
      <c r="V99" s="252">
        <f t="shared" si="8"/>
        <v>4.3808333333333334</v>
      </c>
      <c r="W99" s="253"/>
      <c r="X99" s="254">
        <v>1.6666666666666667</v>
      </c>
      <c r="Y99" s="255">
        <v>7.6</v>
      </c>
      <c r="Z99" s="256">
        <v>3.3</v>
      </c>
      <c r="AA99" s="253"/>
      <c r="AB99" s="257">
        <f t="shared" si="9"/>
        <v>4.1094166666666663</v>
      </c>
      <c r="AC99" s="258"/>
    </row>
    <row r="100" spans="1:29" s="260" customFormat="1">
      <c r="B100" s="242" t="s">
        <v>347</v>
      </c>
      <c r="C100" s="243"/>
      <c r="D100" s="267"/>
      <c r="E100" s="244" t="s">
        <v>256</v>
      </c>
      <c r="F100" s="273"/>
      <c r="G100" s="246">
        <v>1.6400000000000006</v>
      </c>
      <c r="H100" s="247">
        <v>1.4299999999999997</v>
      </c>
      <c r="I100" s="246">
        <f t="shared" si="5"/>
        <v>1.5350000000000001</v>
      </c>
      <c r="J100" s="274"/>
      <c r="K100" s="246">
        <v>4.43</v>
      </c>
      <c r="L100" s="246">
        <v>6.68</v>
      </c>
      <c r="M100" s="246">
        <v>0.91000000000000014</v>
      </c>
      <c r="N100" s="246">
        <v>6.2200000000000006</v>
      </c>
      <c r="O100" s="249">
        <f t="shared" si="6"/>
        <v>4.4269999999999996</v>
      </c>
      <c r="P100" s="279"/>
      <c r="Q100" s="246">
        <v>5.03</v>
      </c>
      <c r="R100" s="246">
        <v>6.8599999999999994</v>
      </c>
      <c r="S100" s="246">
        <v>5.87</v>
      </c>
      <c r="T100" s="249">
        <f t="shared" si="7"/>
        <v>5.9200000000000008</v>
      </c>
      <c r="U100" s="251"/>
      <c r="V100" s="252">
        <f t="shared" si="8"/>
        <v>3.960666666666667</v>
      </c>
      <c r="W100" s="253"/>
      <c r="X100" s="254">
        <v>4.8666666666666671</v>
      </c>
      <c r="Y100" s="255">
        <v>8.6999999999999993</v>
      </c>
      <c r="Z100" s="256">
        <v>8</v>
      </c>
      <c r="AA100" s="253"/>
      <c r="AB100" s="257">
        <f t="shared" si="9"/>
        <v>4.0512666666666668</v>
      </c>
      <c r="AC100" s="258"/>
    </row>
    <row r="101" spans="1:29" s="260" customFormat="1">
      <c r="B101" s="242" t="s">
        <v>348</v>
      </c>
      <c r="C101" s="243"/>
      <c r="D101" s="267"/>
      <c r="E101" s="244" t="s">
        <v>251</v>
      </c>
      <c r="F101" s="273"/>
      <c r="G101" s="246">
        <v>2.95</v>
      </c>
      <c r="H101" s="247">
        <v>3.24</v>
      </c>
      <c r="I101" s="246">
        <f t="shared" si="5"/>
        <v>3.0950000000000002</v>
      </c>
      <c r="J101" s="274"/>
      <c r="K101" s="246">
        <v>5.66</v>
      </c>
      <c r="L101" s="246">
        <v>4.3099999999999996</v>
      </c>
      <c r="M101" s="246">
        <v>1.4000000000000004</v>
      </c>
      <c r="N101" s="246">
        <v>6.35</v>
      </c>
      <c r="O101" s="249">
        <f t="shared" si="6"/>
        <v>4.157</v>
      </c>
      <c r="P101" s="279"/>
      <c r="Q101" s="246">
        <v>5.09</v>
      </c>
      <c r="R101" s="246">
        <v>6.27</v>
      </c>
      <c r="S101" s="246">
        <v>4.97</v>
      </c>
      <c r="T101" s="249">
        <f t="shared" si="7"/>
        <v>5.4433333333333325</v>
      </c>
      <c r="U101" s="251"/>
      <c r="V101" s="252">
        <f t="shared" si="8"/>
        <v>4.2317777777777783</v>
      </c>
      <c r="W101" s="253"/>
      <c r="X101" s="254">
        <v>2.3333333333333335</v>
      </c>
      <c r="Y101" s="255">
        <v>8.6999999999999993</v>
      </c>
      <c r="Z101" s="256">
        <v>5.3</v>
      </c>
      <c r="AA101" s="253"/>
      <c r="AB101" s="257">
        <f t="shared" si="9"/>
        <v>4.0419333333333327</v>
      </c>
      <c r="AC101" s="263"/>
    </row>
    <row r="102" spans="1:29" s="260" customFormat="1">
      <c r="B102" s="242" t="s">
        <v>349</v>
      </c>
      <c r="C102" s="243"/>
      <c r="D102" s="243" t="s">
        <v>263</v>
      </c>
      <c r="E102" s="244" t="s">
        <v>247</v>
      </c>
      <c r="F102" s="273"/>
      <c r="G102" s="246">
        <v>3.1900000000000004</v>
      </c>
      <c r="H102" s="247">
        <v>3.21</v>
      </c>
      <c r="I102" s="246">
        <f t="shared" si="5"/>
        <v>3.2</v>
      </c>
      <c r="J102" s="274"/>
      <c r="K102" s="246">
        <v>6.59</v>
      </c>
      <c r="L102" s="246">
        <v>4.9800000000000004</v>
      </c>
      <c r="M102" s="246">
        <v>1.2599999999999998</v>
      </c>
      <c r="N102" s="246">
        <v>4.67</v>
      </c>
      <c r="O102" s="249">
        <f t="shared" si="6"/>
        <v>4.5979999999999999</v>
      </c>
      <c r="P102" s="279"/>
      <c r="Q102" s="246">
        <v>2.04</v>
      </c>
      <c r="R102" s="246">
        <v>5.57</v>
      </c>
      <c r="S102" s="246">
        <v>5.58</v>
      </c>
      <c r="T102" s="249">
        <f t="shared" si="7"/>
        <v>4.3966666666666674</v>
      </c>
      <c r="U102" s="251"/>
      <c r="V102" s="252">
        <f t="shared" si="8"/>
        <v>4.0648888888888886</v>
      </c>
      <c r="W102" s="253"/>
      <c r="X102" s="254">
        <v>3.3333333333333335</v>
      </c>
      <c r="Y102" s="272">
        <v>8.6999999999999993</v>
      </c>
      <c r="Z102" s="256">
        <v>8</v>
      </c>
      <c r="AA102" s="253"/>
      <c r="AB102" s="257">
        <f t="shared" si="9"/>
        <v>3.9917333333333338</v>
      </c>
      <c r="AC102" s="263"/>
    </row>
    <row r="103" spans="1:29" s="260" customFormat="1">
      <c r="A103" s="241"/>
      <c r="B103" s="242" t="s">
        <v>350</v>
      </c>
      <c r="C103" s="243"/>
      <c r="D103" s="243"/>
      <c r="E103" s="244" t="s">
        <v>256</v>
      </c>
      <c r="F103" s="273"/>
      <c r="G103" s="246">
        <v>4.5999999999999996</v>
      </c>
      <c r="H103" s="247">
        <v>1.3699999999999992</v>
      </c>
      <c r="I103" s="246">
        <f t="shared" si="5"/>
        <v>2.9849999999999994</v>
      </c>
      <c r="J103" s="274"/>
      <c r="K103" s="246">
        <v>3.5999999999999996</v>
      </c>
      <c r="L103" s="246">
        <v>4.8499999999999996</v>
      </c>
      <c r="M103" s="246">
        <v>1.7699999999999996</v>
      </c>
      <c r="N103" s="246">
        <v>5.33</v>
      </c>
      <c r="O103" s="249">
        <f t="shared" si="6"/>
        <v>3.6664999999999996</v>
      </c>
      <c r="P103" s="279"/>
      <c r="Q103" s="246">
        <v>4.8</v>
      </c>
      <c r="R103" s="246">
        <v>6.92</v>
      </c>
      <c r="S103" s="246">
        <v>6.8100000000000005</v>
      </c>
      <c r="T103" s="249">
        <f t="shared" si="7"/>
        <v>6.1766666666666667</v>
      </c>
      <c r="U103" s="251"/>
      <c r="V103" s="252">
        <f t="shared" si="8"/>
        <v>4.2760555555555548</v>
      </c>
      <c r="W103" s="253"/>
      <c r="X103" s="254">
        <v>1.3333333333333333</v>
      </c>
      <c r="Y103" s="255">
        <v>9.6999999999999993</v>
      </c>
      <c r="Z103" s="256">
        <v>3.1</v>
      </c>
      <c r="AA103" s="253"/>
      <c r="AB103" s="257">
        <f t="shared" si="9"/>
        <v>3.981783333333333</v>
      </c>
      <c r="AC103" s="258"/>
    </row>
    <row r="104" spans="1:29" s="260" customFormat="1">
      <c r="A104" s="241"/>
      <c r="B104" s="242" t="s">
        <v>351</v>
      </c>
      <c r="C104" s="243"/>
      <c r="D104" s="243"/>
      <c r="E104" s="244" t="s">
        <v>268</v>
      </c>
      <c r="F104" s="278"/>
      <c r="G104" s="246">
        <v>2.87</v>
      </c>
      <c r="H104" s="247">
        <v>4.08</v>
      </c>
      <c r="I104" s="246">
        <f t="shared" si="5"/>
        <v>3.4750000000000001</v>
      </c>
      <c r="J104" s="274"/>
      <c r="K104" s="246">
        <v>3.84</v>
      </c>
      <c r="L104" s="246">
        <v>4.5</v>
      </c>
      <c r="M104" s="246">
        <v>1.7100000000000009</v>
      </c>
      <c r="N104" s="246">
        <v>4.54</v>
      </c>
      <c r="O104" s="249">
        <f t="shared" si="6"/>
        <v>3.5734999999999997</v>
      </c>
      <c r="P104" s="279"/>
      <c r="Q104" s="246">
        <v>4.7</v>
      </c>
      <c r="R104" s="246">
        <v>6.54</v>
      </c>
      <c r="S104" s="246">
        <v>5.04</v>
      </c>
      <c r="T104" s="249">
        <f t="shared" si="7"/>
        <v>5.4266666666666667</v>
      </c>
      <c r="U104" s="262"/>
      <c r="V104" s="252">
        <f t="shared" si="8"/>
        <v>4.1583888888888891</v>
      </c>
      <c r="W104" s="253"/>
      <c r="X104" s="254">
        <v>1</v>
      </c>
      <c r="Y104" s="272">
        <v>1.8</v>
      </c>
      <c r="Z104" s="256">
        <v>1</v>
      </c>
      <c r="AA104" s="253"/>
      <c r="AB104" s="257">
        <f t="shared" si="9"/>
        <v>3.8425499999999997</v>
      </c>
      <c r="AC104" s="263"/>
    </row>
    <row r="105" spans="1:29" s="260" customFormat="1">
      <c r="A105" s="241"/>
      <c r="B105" s="242" t="s">
        <v>352</v>
      </c>
      <c r="C105" s="243"/>
      <c r="D105" s="267"/>
      <c r="E105" s="244" t="s">
        <v>268</v>
      </c>
      <c r="F105" s="278"/>
      <c r="G105" s="246">
        <v>6.62</v>
      </c>
      <c r="H105" s="247">
        <v>2.4900000000000002</v>
      </c>
      <c r="I105" s="246">
        <f t="shared" si="5"/>
        <v>4.5549999999999997</v>
      </c>
      <c r="J105" s="274"/>
      <c r="K105" s="246">
        <v>3.24</v>
      </c>
      <c r="L105" s="246">
        <v>4.22</v>
      </c>
      <c r="M105" s="246">
        <v>1.7599999999999998</v>
      </c>
      <c r="N105" s="246">
        <v>2.9000000000000004</v>
      </c>
      <c r="O105" s="249">
        <f t="shared" si="6"/>
        <v>3.1959999999999997</v>
      </c>
      <c r="P105" s="279"/>
      <c r="Q105" s="246">
        <v>4.22</v>
      </c>
      <c r="R105" s="246">
        <v>6.79</v>
      </c>
      <c r="S105" s="246">
        <v>2.3099999999999996</v>
      </c>
      <c r="T105" s="249">
        <f t="shared" si="7"/>
        <v>4.4400000000000004</v>
      </c>
      <c r="U105" s="251"/>
      <c r="V105" s="252">
        <f t="shared" si="8"/>
        <v>4.0636666666666663</v>
      </c>
      <c r="W105" s="253"/>
      <c r="X105" s="254">
        <v>1.6666666666666667</v>
      </c>
      <c r="Y105" s="255">
        <v>8.6999999999999993</v>
      </c>
      <c r="Z105" s="256">
        <v>3.5</v>
      </c>
      <c r="AA105" s="271"/>
      <c r="AB105" s="257">
        <f t="shared" si="9"/>
        <v>3.8239666666666658</v>
      </c>
      <c r="AC105" s="258"/>
    </row>
    <row r="106" spans="1:29" s="260" customFormat="1">
      <c r="B106" s="242" t="s">
        <v>353</v>
      </c>
      <c r="C106" s="243"/>
      <c r="D106" s="267"/>
      <c r="E106" s="244" t="s">
        <v>247</v>
      </c>
      <c r="F106" s="273"/>
      <c r="G106" s="246">
        <v>2.1799999999999997</v>
      </c>
      <c r="H106" s="247">
        <v>1.58</v>
      </c>
      <c r="I106" s="246">
        <f t="shared" si="5"/>
        <v>1.88</v>
      </c>
      <c r="J106" s="274"/>
      <c r="K106" s="246">
        <v>5.45</v>
      </c>
      <c r="L106" s="246">
        <v>7.01</v>
      </c>
      <c r="M106" s="246">
        <v>3.25</v>
      </c>
      <c r="N106" s="246">
        <v>5.04</v>
      </c>
      <c r="O106" s="249">
        <f t="shared" si="6"/>
        <v>5.4254999999999995</v>
      </c>
      <c r="P106" s="279"/>
      <c r="Q106" s="246">
        <v>4.0599999999999996</v>
      </c>
      <c r="R106" s="246">
        <v>5.15</v>
      </c>
      <c r="S106" s="246">
        <v>5.38</v>
      </c>
      <c r="T106" s="249">
        <f t="shared" si="7"/>
        <v>4.8633333333333333</v>
      </c>
      <c r="U106" s="251"/>
      <c r="V106" s="252">
        <f t="shared" si="8"/>
        <v>4.056277777777777</v>
      </c>
      <c r="W106" s="253"/>
      <c r="X106" s="254">
        <v>1.6666666666666667</v>
      </c>
      <c r="Y106" s="255">
        <v>3.1</v>
      </c>
      <c r="Z106" s="256">
        <v>2.4</v>
      </c>
      <c r="AA106" s="253"/>
      <c r="AB106" s="257">
        <f t="shared" si="9"/>
        <v>3.8173166666666662</v>
      </c>
      <c r="AC106" s="263"/>
    </row>
    <row r="107" spans="1:29" s="260" customFormat="1">
      <c r="B107" s="242" t="s">
        <v>354</v>
      </c>
      <c r="C107" s="243"/>
      <c r="D107" s="267"/>
      <c r="E107" s="244" t="s">
        <v>251</v>
      </c>
      <c r="F107" s="278"/>
      <c r="G107" s="246">
        <v>2.17</v>
      </c>
      <c r="H107" s="247">
        <v>5.16</v>
      </c>
      <c r="I107" s="246">
        <f t="shared" si="5"/>
        <v>3.665</v>
      </c>
      <c r="J107" s="274"/>
      <c r="K107" s="246">
        <v>3.1500000000000004</v>
      </c>
      <c r="L107" s="246">
        <v>3.33</v>
      </c>
      <c r="M107" s="246">
        <v>1.1099999999999994</v>
      </c>
      <c r="N107" s="246">
        <v>4.22</v>
      </c>
      <c r="O107" s="249">
        <f t="shared" si="6"/>
        <v>2.7564999999999995</v>
      </c>
      <c r="P107" s="279"/>
      <c r="Q107" s="246">
        <v>6.21</v>
      </c>
      <c r="R107" s="246">
        <v>5.9</v>
      </c>
      <c r="S107" s="246">
        <v>3.25</v>
      </c>
      <c r="T107" s="249">
        <f t="shared" si="7"/>
        <v>5.12</v>
      </c>
      <c r="U107" s="262"/>
      <c r="V107" s="252">
        <f t="shared" si="8"/>
        <v>3.8471666666666664</v>
      </c>
      <c r="W107" s="253"/>
      <c r="X107" s="254">
        <v>3.1</v>
      </c>
      <c r="Y107" s="280">
        <v>8.6999999999999993</v>
      </c>
      <c r="Z107" s="256">
        <v>5.3</v>
      </c>
      <c r="AA107" s="253"/>
      <c r="AB107" s="257">
        <f t="shared" si="9"/>
        <v>3.7724499999999996</v>
      </c>
      <c r="AC107" s="263"/>
    </row>
    <row r="108" spans="1:29" s="260" customFormat="1">
      <c r="A108" s="241"/>
      <c r="B108" s="242" t="s">
        <v>355</v>
      </c>
      <c r="C108" s="243"/>
      <c r="D108" s="267"/>
      <c r="E108" s="244" t="s">
        <v>251</v>
      </c>
      <c r="F108" s="278"/>
      <c r="G108" s="246">
        <v>1.5099999999999998</v>
      </c>
      <c r="H108" s="247">
        <v>4.1900000000000004</v>
      </c>
      <c r="I108" s="246">
        <f t="shared" si="5"/>
        <v>2.85</v>
      </c>
      <c r="J108" s="274"/>
      <c r="K108" s="246">
        <v>2.9299999999999997</v>
      </c>
      <c r="L108" s="246">
        <v>3.6500000000000004</v>
      </c>
      <c r="M108" s="246">
        <v>5.63</v>
      </c>
      <c r="N108" s="246">
        <v>3.66</v>
      </c>
      <c r="O108" s="249">
        <f t="shared" si="6"/>
        <v>3.8934999999999995</v>
      </c>
      <c r="P108" s="279"/>
      <c r="Q108" s="246">
        <v>4.84</v>
      </c>
      <c r="R108" s="246">
        <v>6.8599999999999994</v>
      </c>
      <c r="S108" s="246">
        <v>3</v>
      </c>
      <c r="T108" s="249">
        <f t="shared" si="7"/>
        <v>4.8999999999999995</v>
      </c>
      <c r="U108" s="251"/>
      <c r="V108" s="252">
        <f t="shared" si="8"/>
        <v>3.8811666666666667</v>
      </c>
      <c r="W108" s="253"/>
      <c r="X108" s="254">
        <v>2.6666666666666665</v>
      </c>
      <c r="Y108" s="280">
        <v>4.5999999999999996</v>
      </c>
      <c r="Z108" s="256">
        <v>5.4</v>
      </c>
      <c r="AA108" s="253"/>
      <c r="AB108" s="257">
        <f t="shared" si="9"/>
        <v>3.7597166666666659</v>
      </c>
      <c r="AC108" s="258"/>
    </row>
    <row r="109" spans="1:29" s="260" customFormat="1">
      <c r="A109" s="241"/>
      <c r="B109" s="242" t="s">
        <v>356</v>
      </c>
      <c r="C109" s="243"/>
      <c r="D109" s="267"/>
      <c r="E109" s="244" t="s">
        <v>268</v>
      </c>
      <c r="F109" s="234"/>
      <c r="G109" s="246">
        <v>5.42</v>
      </c>
      <c r="H109" s="247">
        <v>2.21</v>
      </c>
      <c r="I109" s="246">
        <f t="shared" si="5"/>
        <v>3.8149999999999999</v>
      </c>
      <c r="J109" s="274"/>
      <c r="K109" s="246">
        <v>2.74</v>
      </c>
      <c r="L109" s="246">
        <v>2.0499999999999998</v>
      </c>
      <c r="M109" s="246">
        <v>1.7200000000000006</v>
      </c>
      <c r="N109" s="246">
        <v>3.6500000000000004</v>
      </c>
      <c r="O109" s="249">
        <f t="shared" si="6"/>
        <v>2.2890000000000001</v>
      </c>
      <c r="P109" s="279"/>
      <c r="Q109" s="246">
        <v>7.6899999999999995</v>
      </c>
      <c r="R109" s="246">
        <v>6.16</v>
      </c>
      <c r="S109" s="246">
        <v>3.75</v>
      </c>
      <c r="T109" s="249">
        <f t="shared" si="7"/>
        <v>5.8666666666666671</v>
      </c>
      <c r="U109" s="251"/>
      <c r="V109" s="252">
        <f t="shared" si="8"/>
        <v>3.9902222222222221</v>
      </c>
      <c r="W109" s="253"/>
      <c r="X109" s="254">
        <v>1.3333333333333333</v>
      </c>
      <c r="Y109" s="280">
        <v>8.6999999999999993</v>
      </c>
      <c r="Z109" s="256">
        <v>2.9</v>
      </c>
      <c r="AA109" s="253"/>
      <c r="AB109" s="257">
        <f t="shared" si="9"/>
        <v>3.724533333333333</v>
      </c>
      <c r="AC109" s="263"/>
    </row>
    <row r="110" spans="1:29" s="260" customFormat="1">
      <c r="B110" s="242" t="s">
        <v>357</v>
      </c>
      <c r="C110" s="243"/>
      <c r="D110" s="243" t="s">
        <v>265</v>
      </c>
      <c r="E110" s="244" t="s">
        <v>268</v>
      </c>
      <c r="F110" s="234"/>
      <c r="G110" s="246">
        <v>7.02</v>
      </c>
      <c r="H110" s="247">
        <v>2.76</v>
      </c>
      <c r="I110" s="246">
        <f t="shared" si="5"/>
        <v>4.8899999999999997</v>
      </c>
      <c r="J110" s="274"/>
      <c r="K110" s="246">
        <v>2.4900000000000002</v>
      </c>
      <c r="L110" s="246">
        <v>2.33</v>
      </c>
      <c r="M110" s="246">
        <v>1.42</v>
      </c>
      <c r="N110" s="246">
        <v>2.5099999999999998</v>
      </c>
      <c r="O110" s="249">
        <f t="shared" si="6"/>
        <v>2.1675</v>
      </c>
      <c r="P110" s="279"/>
      <c r="Q110" s="246">
        <v>4.2300000000000004</v>
      </c>
      <c r="R110" s="246">
        <v>5.21</v>
      </c>
      <c r="S110" s="246">
        <v>2.8600000000000003</v>
      </c>
      <c r="T110" s="249">
        <f t="shared" si="7"/>
        <v>4.1000000000000005</v>
      </c>
      <c r="U110" s="251"/>
      <c r="V110" s="252">
        <f t="shared" si="8"/>
        <v>3.7191666666666663</v>
      </c>
      <c r="W110" s="253"/>
      <c r="X110" s="254">
        <v>3.7666666666666666</v>
      </c>
      <c r="Y110" s="255">
        <v>4.5999999999999996</v>
      </c>
      <c r="Z110" s="256">
        <v>6.4</v>
      </c>
      <c r="AA110" s="253"/>
      <c r="AB110" s="257">
        <f t="shared" si="9"/>
        <v>3.7239166666666668</v>
      </c>
      <c r="AC110" s="258"/>
    </row>
    <row r="111" spans="1:29" s="260" customFormat="1">
      <c r="B111" s="242" t="s">
        <v>358</v>
      </c>
      <c r="C111" s="243"/>
      <c r="D111" s="267"/>
      <c r="E111" s="244" t="s">
        <v>268</v>
      </c>
      <c r="F111" s="266"/>
      <c r="G111" s="246">
        <v>2.25</v>
      </c>
      <c r="H111" s="247">
        <v>2.17</v>
      </c>
      <c r="I111" s="246">
        <f t="shared" si="5"/>
        <v>2.21</v>
      </c>
      <c r="J111" s="274"/>
      <c r="K111" s="246">
        <v>4.04</v>
      </c>
      <c r="L111" s="246">
        <v>5.62</v>
      </c>
      <c r="M111" s="246">
        <v>1.4399999999999995</v>
      </c>
      <c r="N111" s="246">
        <v>3.0199999999999996</v>
      </c>
      <c r="O111" s="249">
        <f t="shared" si="6"/>
        <v>3.8919999999999995</v>
      </c>
      <c r="P111" s="279"/>
      <c r="Q111" s="246">
        <v>5.01</v>
      </c>
      <c r="R111" s="246">
        <v>7.2799999999999994</v>
      </c>
      <c r="S111" s="246">
        <v>4.49</v>
      </c>
      <c r="T111" s="249">
        <f t="shared" si="7"/>
        <v>5.5933333333333337</v>
      </c>
      <c r="U111" s="251"/>
      <c r="V111" s="252">
        <f t="shared" si="8"/>
        <v>3.8984444444444448</v>
      </c>
      <c r="W111" s="253"/>
      <c r="X111" s="254">
        <v>1.3333333333333333</v>
      </c>
      <c r="Y111" s="255">
        <v>4.5999999999999996</v>
      </c>
      <c r="Z111" s="256">
        <v>2.1</v>
      </c>
      <c r="AA111" s="253"/>
      <c r="AB111" s="257">
        <f t="shared" si="9"/>
        <v>3.6419333333333328</v>
      </c>
      <c r="AC111" s="263"/>
    </row>
    <row r="112" spans="1:29" s="260" customFormat="1">
      <c r="B112" s="242" t="s">
        <v>359</v>
      </c>
      <c r="C112" s="243"/>
      <c r="D112" s="267"/>
      <c r="E112" s="244" t="s">
        <v>256</v>
      </c>
      <c r="F112" s="273"/>
      <c r="G112" s="246">
        <v>0.92999999999999972</v>
      </c>
      <c r="H112" s="247">
        <v>0.36999999999999922</v>
      </c>
      <c r="I112" s="246">
        <f t="shared" si="5"/>
        <v>0.64999999999999947</v>
      </c>
      <c r="J112" s="274"/>
      <c r="K112" s="246">
        <v>4.5</v>
      </c>
      <c r="L112" s="246">
        <v>6.26</v>
      </c>
      <c r="M112" s="246">
        <v>1.6400000000000006</v>
      </c>
      <c r="N112" s="246">
        <v>3.74</v>
      </c>
      <c r="O112" s="249">
        <f t="shared" si="6"/>
        <v>4.3630000000000004</v>
      </c>
      <c r="P112" s="279"/>
      <c r="Q112" s="246">
        <v>4.7</v>
      </c>
      <c r="R112" s="246">
        <v>8.4700000000000006</v>
      </c>
      <c r="S112" s="246">
        <v>6.3900000000000006</v>
      </c>
      <c r="T112" s="249">
        <f t="shared" si="7"/>
        <v>6.5200000000000005</v>
      </c>
      <c r="U112" s="251"/>
      <c r="V112" s="252">
        <f t="shared" si="8"/>
        <v>3.8443333333333336</v>
      </c>
      <c r="W112" s="253"/>
      <c r="X112" s="254">
        <v>1.3333333333333333</v>
      </c>
      <c r="Y112" s="255">
        <v>0.2</v>
      </c>
      <c r="Z112" s="256">
        <v>1.2</v>
      </c>
      <c r="AA112" s="253"/>
      <c r="AB112" s="257">
        <f t="shared" si="9"/>
        <v>3.5932333333333335</v>
      </c>
      <c r="AC112" s="263"/>
    </row>
    <row r="113" spans="1:29" s="260" customFormat="1">
      <c r="A113" s="241"/>
      <c r="B113" s="242" t="s">
        <v>360</v>
      </c>
      <c r="C113" s="243"/>
      <c r="D113" s="243" t="s">
        <v>263</v>
      </c>
      <c r="E113" s="244" t="s">
        <v>268</v>
      </c>
      <c r="F113" s="266"/>
      <c r="G113" s="246">
        <v>4.28</v>
      </c>
      <c r="H113" s="247">
        <v>1.7100000000000009</v>
      </c>
      <c r="I113" s="246">
        <f t="shared" si="5"/>
        <v>2.9950000000000006</v>
      </c>
      <c r="J113" s="274"/>
      <c r="K113" s="246">
        <v>2.9400000000000004</v>
      </c>
      <c r="L113" s="246">
        <v>3.8</v>
      </c>
      <c r="M113" s="246">
        <v>2.92</v>
      </c>
      <c r="N113" s="246">
        <v>3.6799999999999997</v>
      </c>
      <c r="O113" s="249">
        <f t="shared" si="6"/>
        <v>3.2730000000000001</v>
      </c>
      <c r="P113" s="279"/>
      <c r="Q113" s="246">
        <v>3.96</v>
      </c>
      <c r="R113" s="246">
        <v>6.12</v>
      </c>
      <c r="S113" s="246">
        <v>3.17</v>
      </c>
      <c r="T113" s="249">
        <f t="shared" si="7"/>
        <v>4.416666666666667</v>
      </c>
      <c r="U113" s="262"/>
      <c r="V113" s="252">
        <f t="shared" si="8"/>
        <v>3.561555555555556</v>
      </c>
      <c r="W113" s="253"/>
      <c r="X113" s="254">
        <v>3</v>
      </c>
      <c r="Y113" s="255">
        <v>1.8</v>
      </c>
      <c r="Z113" s="256">
        <v>5.8</v>
      </c>
      <c r="AA113" s="253"/>
      <c r="AB113" s="257">
        <f t="shared" si="9"/>
        <v>3.5053999999999998</v>
      </c>
      <c r="AC113" s="258"/>
    </row>
    <row r="114" spans="1:29" s="260" customFormat="1">
      <c r="B114" s="242" t="s">
        <v>361</v>
      </c>
      <c r="C114" s="243"/>
      <c r="D114" s="267"/>
      <c r="E114" s="244" t="s">
        <v>256</v>
      </c>
      <c r="F114" s="259"/>
      <c r="G114" s="246">
        <v>0.58999999999999986</v>
      </c>
      <c r="H114" s="247">
        <v>0.40000000000000036</v>
      </c>
      <c r="I114" s="246">
        <f t="shared" si="5"/>
        <v>0.49500000000000011</v>
      </c>
      <c r="J114" s="274"/>
      <c r="K114" s="246">
        <v>4.26</v>
      </c>
      <c r="L114" s="246">
        <v>6.26</v>
      </c>
      <c r="M114" s="246">
        <v>1.6300000000000008</v>
      </c>
      <c r="N114" s="246">
        <v>3.49</v>
      </c>
      <c r="O114" s="249">
        <f t="shared" si="6"/>
        <v>4.2639999999999993</v>
      </c>
      <c r="P114" s="279"/>
      <c r="Q114" s="246">
        <v>5.87</v>
      </c>
      <c r="R114" s="246">
        <v>8.02</v>
      </c>
      <c r="S114" s="246">
        <v>6.3</v>
      </c>
      <c r="T114" s="249">
        <f t="shared" si="7"/>
        <v>6.73</v>
      </c>
      <c r="U114" s="262"/>
      <c r="V114" s="252">
        <f t="shared" si="8"/>
        <v>3.8296666666666668</v>
      </c>
      <c r="W114" s="253"/>
      <c r="X114" s="254">
        <v>0.33333333333333331</v>
      </c>
      <c r="Y114" s="255">
        <v>0.2</v>
      </c>
      <c r="Z114" s="256">
        <v>0.2</v>
      </c>
      <c r="AA114" s="253"/>
      <c r="AB114" s="257">
        <f t="shared" si="9"/>
        <v>3.4800333333333331</v>
      </c>
      <c r="AC114" s="263"/>
    </row>
    <row r="115" spans="1:29" s="260" customFormat="1">
      <c r="B115" s="242" t="s">
        <v>362</v>
      </c>
      <c r="C115" s="243"/>
      <c r="D115" s="267"/>
      <c r="E115" s="244" t="s">
        <v>256</v>
      </c>
      <c r="F115" s="278"/>
      <c r="G115" s="246">
        <v>0.57000000000000028</v>
      </c>
      <c r="H115" s="247">
        <v>0.41999999999999993</v>
      </c>
      <c r="I115" s="246">
        <f t="shared" si="5"/>
        <v>0.49500000000000011</v>
      </c>
      <c r="J115" s="274"/>
      <c r="K115" s="246">
        <v>4.5599999999999996</v>
      </c>
      <c r="L115" s="246">
        <v>8.0500000000000007</v>
      </c>
      <c r="M115" s="246">
        <v>1.4100000000000001</v>
      </c>
      <c r="N115" s="246">
        <v>2.8499999999999996</v>
      </c>
      <c r="O115" s="249">
        <f t="shared" si="6"/>
        <v>4.9085000000000001</v>
      </c>
      <c r="P115" s="279"/>
      <c r="Q115" s="246">
        <v>5.0599999999999996</v>
      </c>
      <c r="R115" s="246">
        <v>7.71</v>
      </c>
      <c r="S115" s="246">
        <v>5.47</v>
      </c>
      <c r="T115" s="249">
        <f t="shared" si="7"/>
        <v>6.0799999999999992</v>
      </c>
      <c r="U115" s="262"/>
      <c r="V115" s="252">
        <f t="shared" si="8"/>
        <v>3.827833333333333</v>
      </c>
      <c r="W115" s="253"/>
      <c r="X115" s="254">
        <v>0.33333333333333331</v>
      </c>
      <c r="Y115" s="280">
        <v>0.2</v>
      </c>
      <c r="Z115" s="256">
        <v>0.2</v>
      </c>
      <c r="AA115" s="253"/>
      <c r="AB115" s="257">
        <f t="shared" si="9"/>
        <v>3.4783833333333329</v>
      </c>
      <c r="AC115" s="258"/>
    </row>
    <row r="116" spans="1:29" s="260" customFormat="1">
      <c r="A116" s="241"/>
      <c r="B116" s="242" t="s">
        <v>363</v>
      </c>
      <c r="C116" s="243"/>
      <c r="D116" s="267"/>
      <c r="E116" s="244" t="s">
        <v>256</v>
      </c>
      <c r="F116" s="278"/>
      <c r="G116" s="246">
        <v>4.12</v>
      </c>
      <c r="H116" s="247">
        <v>2.8600000000000003</v>
      </c>
      <c r="I116" s="246">
        <f t="shared" si="5"/>
        <v>3.49</v>
      </c>
      <c r="J116" s="274"/>
      <c r="K116" s="246">
        <v>2.5499999999999998</v>
      </c>
      <c r="L116" s="246">
        <v>3.2699999999999996</v>
      </c>
      <c r="M116" s="246">
        <v>4.53</v>
      </c>
      <c r="N116" s="246">
        <v>1.8100000000000005</v>
      </c>
      <c r="O116" s="249">
        <f t="shared" si="6"/>
        <v>3.2600000000000002</v>
      </c>
      <c r="P116" s="279"/>
      <c r="Q116" s="246">
        <v>4.1399999999999997</v>
      </c>
      <c r="R116" s="246">
        <v>4.3</v>
      </c>
      <c r="S116" s="246">
        <v>3.8600000000000003</v>
      </c>
      <c r="T116" s="249">
        <f t="shared" si="7"/>
        <v>4.1000000000000005</v>
      </c>
      <c r="U116" s="251"/>
      <c r="V116" s="252">
        <f t="shared" si="8"/>
        <v>3.6166666666666671</v>
      </c>
      <c r="W116" s="253"/>
      <c r="X116" s="254">
        <v>2</v>
      </c>
      <c r="Y116" s="280">
        <v>0.2</v>
      </c>
      <c r="Z116" s="256">
        <v>2.6</v>
      </c>
      <c r="AA116" s="253"/>
      <c r="AB116" s="257">
        <f t="shared" si="9"/>
        <v>3.4550000000000001</v>
      </c>
      <c r="AC116" s="258"/>
    </row>
    <row r="117" spans="1:29" s="260" customFormat="1">
      <c r="B117" s="242" t="s">
        <v>364</v>
      </c>
      <c r="C117" s="243"/>
      <c r="D117" s="267"/>
      <c r="E117" s="244" t="s">
        <v>256</v>
      </c>
      <c r="F117" s="278"/>
      <c r="G117" s="246">
        <v>3.33</v>
      </c>
      <c r="H117" s="247">
        <v>1.1999999999999993</v>
      </c>
      <c r="I117" s="246">
        <f t="shared" si="5"/>
        <v>2.2649999999999997</v>
      </c>
      <c r="J117" s="274"/>
      <c r="K117" s="246">
        <v>2.7199999999999998</v>
      </c>
      <c r="L117" s="246">
        <v>5.16</v>
      </c>
      <c r="M117" s="246">
        <v>2.0700000000000003</v>
      </c>
      <c r="N117" s="246">
        <v>1.7300000000000004</v>
      </c>
      <c r="O117" s="249">
        <f t="shared" si="6"/>
        <v>3.3619999999999997</v>
      </c>
      <c r="P117" s="279"/>
      <c r="Q117" s="246">
        <v>4.9800000000000004</v>
      </c>
      <c r="R117" s="246">
        <v>7.35</v>
      </c>
      <c r="S117" s="246">
        <v>4.92</v>
      </c>
      <c r="T117" s="249">
        <f t="shared" si="7"/>
        <v>5.75</v>
      </c>
      <c r="U117" s="262"/>
      <c r="V117" s="252">
        <f t="shared" si="8"/>
        <v>3.7923333333333331</v>
      </c>
      <c r="W117" s="253"/>
      <c r="X117" s="254">
        <v>0.33333333333333331</v>
      </c>
      <c r="Y117" s="280">
        <v>6.2</v>
      </c>
      <c r="Z117" s="256">
        <v>1.4</v>
      </c>
      <c r="AA117" s="253"/>
      <c r="AB117" s="257">
        <f t="shared" si="9"/>
        <v>3.4464333333333332</v>
      </c>
      <c r="AC117" s="258"/>
    </row>
    <row r="118" spans="1:29" s="260" customFormat="1">
      <c r="B118" s="242" t="s">
        <v>365</v>
      </c>
      <c r="C118" s="243"/>
      <c r="D118" s="267"/>
      <c r="E118" s="244" t="s">
        <v>249</v>
      </c>
      <c r="F118" s="259"/>
      <c r="G118" s="246">
        <v>0.85999999999999943</v>
      </c>
      <c r="H118" s="247">
        <v>0.17999999999999972</v>
      </c>
      <c r="I118" s="246">
        <f t="shared" si="5"/>
        <v>0.51999999999999957</v>
      </c>
      <c r="J118" s="274"/>
      <c r="K118" s="246">
        <v>5.83</v>
      </c>
      <c r="L118" s="246">
        <v>4.09</v>
      </c>
      <c r="M118" s="246">
        <v>1.9399999999999995</v>
      </c>
      <c r="N118" s="246">
        <v>6.52</v>
      </c>
      <c r="O118" s="249">
        <f t="shared" si="6"/>
        <v>4.2829999999999995</v>
      </c>
      <c r="P118" s="279"/>
      <c r="Q118" s="246">
        <v>5.13</v>
      </c>
      <c r="R118" s="246">
        <v>8.4499999999999993</v>
      </c>
      <c r="S118" s="246">
        <v>4.32</v>
      </c>
      <c r="T118" s="249">
        <f t="shared" si="7"/>
        <v>5.9666666666666659</v>
      </c>
      <c r="U118" s="262"/>
      <c r="V118" s="252">
        <f t="shared" si="8"/>
        <v>3.5898888888888885</v>
      </c>
      <c r="W118" s="253"/>
      <c r="X118" s="254">
        <v>1.3333333333333333</v>
      </c>
      <c r="Y118" s="255">
        <v>1</v>
      </c>
      <c r="Z118" s="256">
        <v>1.3</v>
      </c>
      <c r="AA118" s="253"/>
      <c r="AB118" s="257">
        <f t="shared" si="9"/>
        <v>3.3642333333333325</v>
      </c>
      <c r="AC118" s="258"/>
    </row>
    <row r="119" spans="1:29" s="260" customFormat="1">
      <c r="B119" s="242" t="s">
        <v>366</v>
      </c>
      <c r="C119" s="243"/>
      <c r="D119" s="267"/>
      <c r="E119" s="244" t="s">
        <v>268</v>
      </c>
      <c r="F119" s="278"/>
      <c r="G119" s="246">
        <v>6.54</v>
      </c>
      <c r="H119" s="247">
        <v>0.47000000000000064</v>
      </c>
      <c r="I119" s="246">
        <f t="shared" si="5"/>
        <v>3.5050000000000003</v>
      </c>
      <c r="J119" s="274"/>
      <c r="K119" s="246">
        <v>2.17</v>
      </c>
      <c r="L119" s="246">
        <v>3.0199999999999996</v>
      </c>
      <c r="M119" s="246">
        <v>3.66</v>
      </c>
      <c r="N119" s="246">
        <v>2.3899999999999997</v>
      </c>
      <c r="O119" s="249">
        <f t="shared" si="6"/>
        <v>2.8509999999999995</v>
      </c>
      <c r="P119" s="279"/>
      <c r="Q119" s="246">
        <v>3.16</v>
      </c>
      <c r="R119" s="246">
        <v>6.13</v>
      </c>
      <c r="S119" s="246">
        <v>3.0300000000000002</v>
      </c>
      <c r="T119" s="249">
        <f t="shared" si="7"/>
        <v>4.1066666666666665</v>
      </c>
      <c r="U119" s="251"/>
      <c r="V119" s="252">
        <f t="shared" si="8"/>
        <v>3.4875555555555557</v>
      </c>
      <c r="W119" s="253"/>
      <c r="X119" s="254">
        <v>2</v>
      </c>
      <c r="Y119" s="255">
        <v>3.1</v>
      </c>
      <c r="Z119" s="256">
        <v>3.2</v>
      </c>
      <c r="AA119" s="253"/>
      <c r="AB119" s="257">
        <f t="shared" si="9"/>
        <v>3.3388</v>
      </c>
      <c r="AC119" s="263"/>
    </row>
    <row r="120" spans="1:29" s="260" customFormat="1">
      <c r="B120" s="242" t="s">
        <v>367</v>
      </c>
      <c r="C120" s="243"/>
      <c r="D120" s="267"/>
      <c r="E120" s="244" t="s">
        <v>268</v>
      </c>
      <c r="F120" s="259"/>
      <c r="G120" s="246">
        <v>3.6799999999999997</v>
      </c>
      <c r="H120" s="247">
        <v>2.76</v>
      </c>
      <c r="I120" s="246">
        <f t="shared" si="5"/>
        <v>3.2199999999999998</v>
      </c>
      <c r="J120" s="274"/>
      <c r="K120" s="246">
        <v>4.42</v>
      </c>
      <c r="L120" s="246">
        <v>3.2199999999999998</v>
      </c>
      <c r="M120" s="246">
        <v>1.5600000000000005</v>
      </c>
      <c r="N120" s="246">
        <v>2.8</v>
      </c>
      <c r="O120" s="249">
        <f t="shared" si="6"/>
        <v>3.2039999999999997</v>
      </c>
      <c r="P120" s="279"/>
      <c r="Q120" s="246">
        <v>4.0599999999999996</v>
      </c>
      <c r="R120" s="246">
        <v>4.24</v>
      </c>
      <c r="S120" s="246">
        <v>4.28</v>
      </c>
      <c r="T120" s="249">
        <f t="shared" si="7"/>
        <v>4.1933333333333342</v>
      </c>
      <c r="U120" s="251"/>
      <c r="V120" s="252">
        <f t="shared" si="8"/>
        <v>3.5391111111111115</v>
      </c>
      <c r="W120" s="253"/>
      <c r="X120" s="254">
        <v>1.3333333333333333</v>
      </c>
      <c r="Y120" s="255">
        <v>1</v>
      </c>
      <c r="Z120" s="256">
        <v>1.3</v>
      </c>
      <c r="AA120" s="253"/>
      <c r="AB120" s="257">
        <f t="shared" si="9"/>
        <v>3.3185333333333333</v>
      </c>
      <c r="AC120" s="258"/>
    </row>
    <row r="121" spans="1:29" s="260" customFormat="1">
      <c r="B121" s="242" t="s">
        <v>368</v>
      </c>
      <c r="C121" s="243"/>
      <c r="D121" s="267"/>
      <c r="E121" s="244" t="s">
        <v>268</v>
      </c>
      <c r="F121" s="264"/>
      <c r="G121" s="246">
        <v>2.5199999999999996</v>
      </c>
      <c r="H121" s="247">
        <v>1.6500000000000004</v>
      </c>
      <c r="I121" s="246">
        <f t="shared" si="5"/>
        <v>2.085</v>
      </c>
      <c r="J121" s="274"/>
      <c r="K121" s="246">
        <v>2.8099999999999996</v>
      </c>
      <c r="L121" s="246">
        <v>4.2</v>
      </c>
      <c r="M121" s="246">
        <v>2.5</v>
      </c>
      <c r="N121" s="246">
        <v>2.0700000000000003</v>
      </c>
      <c r="O121" s="249">
        <f t="shared" si="6"/>
        <v>3.1819999999999999</v>
      </c>
      <c r="P121" s="279"/>
      <c r="Q121" s="246">
        <v>5.39</v>
      </c>
      <c r="R121" s="246">
        <v>6.63</v>
      </c>
      <c r="S121" s="246">
        <v>4.12</v>
      </c>
      <c r="T121" s="249">
        <f t="shared" si="7"/>
        <v>5.38</v>
      </c>
      <c r="U121" s="251"/>
      <c r="V121" s="252">
        <f t="shared" si="8"/>
        <v>3.5489999999999995</v>
      </c>
      <c r="W121" s="253"/>
      <c r="X121" s="254">
        <v>1</v>
      </c>
      <c r="Y121" s="255">
        <v>6.2</v>
      </c>
      <c r="Z121" s="256">
        <v>1.9</v>
      </c>
      <c r="AA121" s="253"/>
      <c r="AB121" s="257">
        <f t="shared" si="9"/>
        <v>3.2940999999999998</v>
      </c>
      <c r="AC121" s="263"/>
    </row>
    <row r="122" spans="1:29" s="260" customFormat="1">
      <c r="B122" s="242" t="s">
        <v>369</v>
      </c>
      <c r="C122" s="243"/>
      <c r="D122" s="267"/>
      <c r="E122" s="244" t="s">
        <v>256</v>
      </c>
      <c r="F122" s="273"/>
      <c r="G122" s="246">
        <v>2.09</v>
      </c>
      <c r="H122" s="247">
        <v>0.46000000000000085</v>
      </c>
      <c r="I122" s="246">
        <f t="shared" si="5"/>
        <v>1.2750000000000004</v>
      </c>
      <c r="J122" s="274"/>
      <c r="K122" s="246">
        <v>3.63</v>
      </c>
      <c r="L122" s="246">
        <v>4.04</v>
      </c>
      <c r="M122" s="246">
        <v>2.0199999999999996</v>
      </c>
      <c r="N122" s="246">
        <v>2.4000000000000004</v>
      </c>
      <c r="O122" s="249">
        <f t="shared" si="6"/>
        <v>3.3094999999999999</v>
      </c>
      <c r="P122" s="279"/>
      <c r="Q122" s="246">
        <v>4.53</v>
      </c>
      <c r="R122" s="246">
        <v>7.54</v>
      </c>
      <c r="S122" s="246">
        <v>5.78</v>
      </c>
      <c r="T122" s="249">
        <f t="shared" si="7"/>
        <v>5.95</v>
      </c>
      <c r="U122" s="262"/>
      <c r="V122" s="252">
        <f t="shared" si="8"/>
        <v>3.5115000000000003</v>
      </c>
      <c r="W122" s="253"/>
      <c r="X122" s="254">
        <v>1.3333333333333333</v>
      </c>
      <c r="Y122" s="255">
        <v>6.2</v>
      </c>
      <c r="Z122" s="256">
        <v>2.4</v>
      </c>
      <c r="AA122" s="253"/>
      <c r="AB122" s="257">
        <f t="shared" si="9"/>
        <v>3.2936833333333335</v>
      </c>
      <c r="AC122" s="263"/>
    </row>
    <row r="123" spans="1:29" s="260" customFormat="1">
      <c r="B123" s="242" t="s">
        <v>370</v>
      </c>
      <c r="C123" s="243"/>
      <c r="D123" s="267"/>
      <c r="E123" s="244" t="s">
        <v>256</v>
      </c>
      <c r="F123" s="273"/>
      <c r="G123" s="246">
        <v>0.4399999999999995</v>
      </c>
      <c r="H123" s="247">
        <v>1.1899999999999995</v>
      </c>
      <c r="I123" s="246">
        <f t="shared" si="5"/>
        <v>0.8149999999999995</v>
      </c>
      <c r="J123" s="274"/>
      <c r="K123" s="246">
        <v>3.3899999999999997</v>
      </c>
      <c r="L123" s="246">
        <v>5.31</v>
      </c>
      <c r="M123" s="246">
        <v>1.6400000000000006</v>
      </c>
      <c r="N123" s="246">
        <v>5.95</v>
      </c>
      <c r="O123" s="249">
        <f t="shared" si="6"/>
        <v>3.7524999999999999</v>
      </c>
      <c r="P123" s="279"/>
      <c r="Q123" s="246">
        <v>4.99</v>
      </c>
      <c r="R123" s="246">
        <v>8.0299999999999994</v>
      </c>
      <c r="S123" s="246">
        <v>6.2</v>
      </c>
      <c r="T123" s="249">
        <f t="shared" si="7"/>
        <v>6.4066666666666663</v>
      </c>
      <c r="U123" s="251"/>
      <c r="V123" s="252">
        <f t="shared" si="8"/>
        <v>3.6580555555555549</v>
      </c>
      <c r="W123" s="253"/>
      <c r="X123" s="254">
        <v>0</v>
      </c>
      <c r="Y123" s="255">
        <v>0.2</v>
      </c>
      <c r="Z123" s="256">
        <v>0.1</v>
      </c>
      <c r="AA123" s="253"/>
      <c r="AB123" s="257">
        <f t="shared" si="9"/>
        <v>3.2922499999999997</v>
      </c>
      <c r="AC123" s="258"/>
    </row>
    <row r="124" spans="1:29" s="260" customFormat="1">
      <c r="B124" s="242" t="s">
        <v>371</v>
      </c>
      <c r="C124" s="243"/>
      <c r="D124" s="267"/>
      <c r="E124" s="244" t="s">
        <v>251</v>
      </c>
      <c r="F124" s="273"/>
      <c r="G124" s="246">
        <v>0.59999999999999964</v>
      </c>
      <c r="H124" s="247">
        <v>5</v>
      </c>
      <c r="I124" s="246">
        <f t="shared" si="5"/>
        <v>2.8</v>
      </c>
      <c r="J124" s="274"/>
      <c r="K124" s="246">
        <v>2.6500000000000004</v>
      </c>
      <c r="L124" s="246">
        <v>3.63</v>
      </c>
      <c r="M124" s="246">
        <v>1.33</v>
      </c>
      <c r="N124" s="246">
        <v>3.6900000000000004</v>
      </c>
      <c r="O124" s="249">
        <f t="shared" si="6"/>
        <v>2.7149999999999999</v>
      </c>
      <c r="P124" s="279"/>
      <c r="Q124" s="246">
        <v>7.29</v>
      </c>
      <c r="R124" s="246">
        <v>3.6900000000000004</v>
      </c>
      <c r="S124" s="246">
        <v>3.12</v>
      </c>
      <c r="T124" s="249">
        <f t="shared" si="7"/>
        <v>4.7</v>
      </c>
      <c r="U124" s="262"/>
      <c r="V124" s="252">
        <f t="shared" si="8"/>
        <v>3.4049999999999998</v>
      </c>
      <c r="W124" s="253"/>
      <c r="X124" s="254">
        <v>2</v>
      </c>
      <c r="Y124" s="255">
        <v>0.2</v>
      </c>
      <c r="Z124" s="256">
        <v>2.6</v>
      </c>
      <c r="AA124" s="253"/>
      <c r="AB124" s="257">
        <f t="shared" si="9"/>
        <v>3.2645</v>
      </c>
      <c r="AC124" s="258"/>
    </row>
    <row r="125" spans="1:29" s="260" customFormat="1">
      <c r="B125" s="242" t="s">
        <v>372</v>
      </c>
      <c r="C125" s="243"/>
      <c r="D125" s="267"/>
      <c r="E125" s="244" t="s">
        <v>249</v>
      </c>
      <c r="F125" s="273"/>
      <c r="G125" s="246">
        <v>2.21</v>
      </c>
      <c r="H125" s="247">
        <v>0.41999999999999993</v>
      </c>
      <c r="I125" s="246">
        <f t="shared" si="5"/>
        <v>1.3149999999999999</v>
      </c>
      <c r="J125" s="274"/>
      <c r="K125" s="246">
        <v>3.45</v>
      </c>
      <c r="L125" s="246">
        <v>4.96</v>
      </c>
      <c r="M125" s="246">
        <v>1.67</v>
      </c>
      <c r="N125" s="246">
        <v>5.75</v>
      </c>
      <c r="O125" s="249">
        <f t="shared" si="6"/>
        <v>3.6485000000000003</v>
      </c>
      <c r="P125" s="279"/>
      <c r="Q125" s="246">
        <v>4.71</v>
      </c>
      <c r="R125" s="246">
        <v>7.45</v>
      </c>
      <c r="S125" s="246">
        <v>3.51</v>
      </c>
      <c r="T125" s="249">
        <f t="shared" si="7"/>
        <v>5.2233333333333336</v>
      </c>
      <c r="U125" s="251"/>
      <c r="V125" s="252">
        <f t="shared" si="8"/>
        <v>3.3956111111111107</v>
      </c>
      <c r="W125" s="253"/>
      <c r="X125" s="254">
        <v>1.6666666666666667</v>
      </c>
      <c r="Y125" s="255">
        <v>0.2</v>
      </c>
      <c r="Z125" s="256">
        <v>1.8</v>
      </c>
      <c r="AA125" s="253"/>
      <c r="AB125" s="257">
        <f t="shared" si="9"/>
        <v>3.2227166666666665</v>
      </c>
      <c r="AC125" s="258"/>
    </row>
    <row r="126" spans="1:29" s="260" customFormat="1">
      <c r="A126" s="241"/>
      <c r="B126" s="242" t="s">
        <v>373</v>
      </c>
      <c r="C126" s="243"/>
      <c r="D126" s="267"/>
      <c r="E126" s="244" t="s">
        <v>256</v>
      </c>
      <c r="F126" s="259"/>
      <c r="G126" s="246">
        <v>0.33999999999999986</v>
      </c>
      <c r="H126" s="247">
        <v>0.15000000000000036</v>
      </c>
      <c r="I126" s="246">
        <f t="shared" si="5"/>
        <v>0.24500000000000011</v>
      </c>
      <c r="J126" s="274"/>
      <c r="K126" s="246">
        <v>5.13</v>
      </c>
      <c r="L126" s="246">
        <v>3.95</v>
      </c>
      <c r="M126" s="246">
        <v>1.4100000000000001</v>
      </c>
      <c r="N126" s="246">
        <v>6.45</v>
      </c>
      <c r="O126" s="249">
        <f t="shared" si="6"/>
        <v>3.8529999999999998</v>
      </c>
      <c r="P126" s="279"/>
      <c r="Q126" s="246">
        <v>5.34</v>
      </c>
      <c r="R126" s="246">
        <v>6.51</v>
      </c>
      <c r="S126" s="246">
        <v>7.27</v>
      </c>
      <c r="T126" s="249">
        <f t="shared" si="7"/>
        <v>6.3733333333333322</v>
      </c>
      <c r="U126" s="251"/>
      <c r="V126" s="252">
        <f t="shared" si="8"/>
        <v>3.490444444444444</v>
      </c>
      <c r="W126" s="253"/>
      <c r="X126" s="254">
        <v>0.66666666666666663</v>
      </c>
      <c r="Y126" s="255">
        <v>1.8</v>
      </c>
      <c r="Z126" s="256">
        <v>0.7</v>
      </c>
      <c r="AA126" s="253"/>
      <c r="AB126" s="257">
        <f t="shared" si="9"/>
        <v>3.2080666666666664</v>
      </c>
      <c r="AC126" s="263"/>
    </row>
    <row r="127" spans="1:29" s="260" customFormat="1">
      <c r="B127" s="242" t="s">
        <v>374</v>
      </c>
      <c r="C127" s="243"/>
      <c r="D127" s="267"/>
      <c r="E127" s="244" t="s">
        <v>256</v>
      </c>
      <c r="F127" s="273"/>
      <c r="G127" s="246">
        <v>0.72000000000000064</v>
      </c>
      <c r="H127" s="247">
        <v>1.1500000000000004</v>
      </c>
      <c r="I127" s="246">
        <f t="shared" si="5"/>
        <v>0.9350000000000005</v>
      </c>
      <c r="J127" s="274"/>
      <c r="K127" s="246">
        <v>2.5</v>
      </c>
      <c r="L127" s="246">
        <v>4.51</v>
      </c>
      <c r="M127" s="246">
        <v>1.0600000000000005</v>
      </c>
      <c r="N127" s="246">
        <v>2.91</v>
      </c>
      <c r="O127" s="249">
        <f t="shared" si="6"/>
        <v>2.8640000000000003</v>
      </c>
      <c r="P127" s="279"/>
      <c r="Q127" s="246">
        <v>5.27</v>
      </c>
      <c r="R127" s="246">
        <v>8.01</v>
      </c>
      <c r="S127" s="246">
        <v>4.7300000000000004</v>
      </c>
      <c r="T127" s="249">
        <f t="shared" si="7"/>
        <v>6.003333333333333</v>
      </c>
      <c r="U127" s="251"/>
      <c r="V127" s="252">
        <f t="shared" si="8"/>
        <v>3.2674444444444446</v>
      </c>
      <c r="W127" s="253"/>
      <c r="X127" s="254">
        <v>1.3333333333333333</v>
      </c>
      <c r="Y127" s="255">
        <v>0.2</v>
      </c>
      <c r="Z127" s="256">
        <v>1.2</v>
      </c>
      <c r="AA127" s="253"/>
      <c r="AB127" s="257">
        <f t="shared" si="9"/>
        <v>3.074033333333333</v>
      </c>
      <c r="AC127" s="263"/>
    </row>
    <row r="128" spans="1:29" s="260" customFormat="1">
      <c r="B128" s="242" t="s">
        <v>375</v>
      </c>
      <c r="C128" s="243"/>
      <c r="D128" s="267"/>
      <c r="E128" s="244" t="s">
        <v>268</v>
      </c>
      <c r="F128" s="266"/>
      <c r="G128" s="246">
        <v>1.2599999999999998</v>
      </c>
      <c r="H128" s="247">
        <v>1.3000000000000007</v>
      </c>
      <c r="I128" s="246">
        <f t="shared" si="5"/>
        <v>1.2800000000000002</v>
      </c>
      <c r="J128" s="276"/>
      <c r="K128" s="246">
        <v>3.2</v>
      </c>
      <c r="L128" s="246">
        <v>4.9000000000000004</v>
      </c>
      <c r="M128" s="246">
        <v>1.4399999999999995</v>
      </c>
      <c r="N128" s="246">
        <v>2.88</v>
      </c>
      <c r="O128" s="249">
        <f t="shared" si="6"/>
        <v>3.339</v>
      </c>
      <c r="P128" s="277"/>
      <c r="Q128" s="246">
        <v>6.24</v>
      </c>
      <c r="R128" s="246">
        <v>6.49</v>
      </c>
      <c r="S128" s="246">
        <v>3.76</v>
      </c>
      <c r="T128" s="249">
        <f t="shared" si="7"/>
        <v>5.496666666666667</v>
      </c>
      <c r="U128" s="262"/>
      <c r="V128" s="252">
        <f t="shared" si="8"/>
        <v>3.3718888888888885</v>
      </c>
      <c r="W128" s="253"/>
      <c r="X128" s="254">
        <v>0.33333333333333331</v>
      </c>
      <c r="Y128" s="255">
        <v>1.8</v>
      </c>
      <c r="Z128" s="256">
        <v>0.6</v>
      </c>
      <c r="AA128" s="253"/>
      <c r="AB128" s="257">
        <f t="shared" si="9"/>
        <v>3.0680333333333332</v>
      </c>
      <c r="AC128" s="258"/>
    </row>
    <row r="129" spans="1:29" s="260" customFormat="1">
      <c r="B129" s="242" t="s">
        <v>376</v>
      </c>
      <c r="C129" s="243"/>
      <c r="D129" s="267"/>
      <c r="E129" s="244" t="s">
        <v>268</v>
      </c>
      <c r="F129" s="278"/>
      <c r="G129" s="246">
        <v>4.0999999999999996</v>
      </c>
      <c r="H129" s="247">
        <v>1.9299999999999997</v>
      </c>
      <c r="I129" s="246">
        <f t="shared" si="5"/>
        <v>3.0149999999999997</v>
      </c>
      <c r="J129" s="274"/>
      <c r="K129" s="246">
        <v>3.41</v>
      </c>
      <c r="L129" s="246">
        <v>2.4500000000000002</v>
      </c>
      <c r="M129" s="246">
        <v>1.9000000000000004</v>
      </c>
      <c r="N129" s="246">
        <v>2.6799999999999997</v>
      </c>
      <c r="O129" s="249">
        <f t="shared" si="6"/>
        <v>2.66</v>
      </c>
      <c r="P129" s="279"/>
      <c r="Q129" s="246">
        <v>3.0999999999999996</v>
      </c>
      <c r="R129" s="246">
        <v>4.53</v>
      </c>
      <c r="S129" s="246">
        <v>2.88</v>
      </c>
      <c r="T129" s="249">
        <f t="shared" si="7"/>
        <v>3.5033333333333334</v>
      </c>
      <c r="U129" s="251"/>
      <c r="V129" s="252">
        <f t="shared" si="8"/>
        <v>3.0594444444444444</v>
      </c>
      <c r="W129" s="253"/>
      <c r="X129" s="254">
        <v>2</v>
      </c>
      <c r="Y129" s="255">
        <v>0.4</v>
      </c>
      <c r="Z129" s="256">
        <v>2.7</v>
      </c>
      <c r="AA129" s="253"/>
      <c r="AB129" s="257">
        <f t="shared" si="9"/>
        <v>2.9535</v>
      </c>
      <c r="AC129" s="263"/>
    </row>
    <row r="130" spans="1:29" s="260" customFormat="1">
      <c r="A130" s="241"/>
      <c r="B130" s="242" t="s">
        <v>377</v>
      </c>
      <c r="C130" s="243"/>
      <c r="D130" s="267"/>
      <c r="E130" s="244" t="s">
        <v>251</v>
      </c>
      <c r="F130" s="278"/>
      <c r="G130" s="246">
        <v>1.5</v>
      </c>
      <c r="H130" s="247">
        <v>3.3200000000000003</v>
      </c>
      <c r="I130" s="246">
        <f t="shared" si="5"/>
        <v>2.41</v>
      </c>
      <c r="J130" s="274"/>
      <c r="K130" s="246">
        <v>1.92</v>
      </c>
      <c r="L130" s="246">
        <v>4.83</v>
      </c>
      <c r="M130" s="246">
        <v>1.25</v>
      </c>
      <c r="N130" s="246">
        <v>4.6900000000000004</v>
      </c>
      <c r="O130" s="249">
        <f t="shared" si="6"/>
        <v>2.9095</v>
      </c>
      <c r="P130" s="279"/>
      <c r="Q130" s="246">
        <v>6.49</v>
      </c>
      <c r="R130" s="246">
        <v>4.0199999999999996</v>
      </c>
      <c r="S130" s="246">
        <v>2.74</v>
      </c>
      <c r="T130" s="249">
        <f t="shared" si="7"/>
        <v>4.416666666666667</v>
      </c>
      <c r="U130" s="251"/>
      <c r="V130" s="252">
        <f t="shared" si="8"/>
        <v>3.2453888888888884</v>
      </c>
      <c r="W130" s="253"/>
      <c r="X130" s="254">
        <v>0</v>
      </c>
      <c r="Y130" s="255">
        <v>0.2</v>
      </c>
      <c r="Z130" s="256">
        <v>0.1</v>
      </c>
      <c r="AA130" s="253"/>
      <c r="AB130" s="257">
        <f t="shared" si="9"/>
        <v>2.9208499999999997</v>
      </c>
      <c r="AC130" s="258"/>
    </row>
    <row r="131" spans="1:29" s="260" customFormat="1">
      <c r="B131" s="242" t="s">
        <v>378</v>
      </c>
      <c r="C131" s="243"/>
      <c r="D131" s="267"/>
      <c r="E131" s="244" t="s">
        <v>268</v>
      </c>
      <c r="F131" s="278"/>
      <c r="G131" s="246">
        <v>2.87</v>
      </c>
      <c r="H131" s="247">
        <v>2.1100000000000003</v>
      </c>
      <c r="I131" s="246">
        <f t="shared" si="5"/>
        <v>2.4900000000000002</v>
      </c>
      <c r="J131" s="274"/>
      <c r="K131" s="246">
        <v>3.5999999999999996</v>
      </c>
      <c r="L131" s="246">
        <v>4.92</v>
      </c>
      <c r="M131" s="246">
        <v>1.0500000000000007</v>
      </c>
      <c r="N131" s="246">
        <v>2.8499999999999996</v>
      </c>
      <c r="O131" s="249">
        <f t="shared" si="6"/>
        <v>3.387</v>
      </c>
      <c r="P131" s="279"/>
      <c r="Q131" s="246">
        <v>4.1100000000000003</v>
      </c>
      <c r="R131" s="246">
        <v>3.41</v>
      </c>
      <c r="S131" s="246">
        <v>1.6600000000000001</v>
      </c>
      <c r="T131" s="249">
        <f t="shared" si="7"/>
        <v>3.06</v>
      </c>
      <c r="U131" s="262"/>
      <c r="V131" s="252">
        <f t="shared" si="8"/>
        <v>2.9790000000000005</v>
      </c>
      <c r="W131" s="253"/>
      <c r="X131" s="254">
        <v>1.6666666666666667</v>
      </c>
      <c r="Y131" s="255">
        <v>0.4</v>
      </c>
      <c r="Z131" s="256">
        <v>1.9</v>
      </c>
      <c r="AA131" s="253"/>
      <c r="AB131" s="257">
        <f t="shared" si="9"/>
        <v>2.8477666666666663</v>
      </c>
      <c r="AC131" s="258"/>
    </row>
    <row r="132" spans="1:29" s="260" customFormat="1">
      <c r="B132" s="242" t="s">
        <v>379</v>
      </c>
      <c r="C132" s="243"/>
      <c r="D132" s="267"/>
      <c r="E132" s="244" t="s">
        <v>268</v>
      </c>
      <c r="F132" s="273"/>
      <c r="G132" s="246">
        <v>2.4699999999999998</v>
      </c>
      <c r="H132" s="247">
        <v>0.41000000000000014</v>
      </c>
      <c r="I132" s="246">
        <f t="shared" si="5"/>
        <v>1.44</v>
      </c>
      <c r="J132" s="274"/>
      <c r="K132" s="246">
        <v>2.1500000000000004</v>
      </c>
      <c r="L132" s="246">
        <v>5.65</v>
      </c>
      <c r="M132" s="246">
        <v>1.4700000000000006</v>
      </c>
      <c r="N132" s="246">
        <v>2.0199999999999996</v>
      </c>
      <c r="O132" s="249">
        <f t="shared" si="6"/>
        <v>3.1985000000000001</v>
      </c>
      <c r="P132" s="279"/>
      <c r="Q132" s="246">
        <v>4.16</v>
      </c>
      <c r="R132" s="246">
        <v>6.59</v>
      </c>
      <c r="S132" s="246">
        <v>3.4299999999999997</v>
      </c>
      <c r="T132" s="249">
        <f t="shared" si="7"/>
        <v>4.7266666666666666</v>
      </c>
      <c r="U132" s="251"/>
      <c r="V132" s="252">
        <f t="shared" si="8"/>
        <v>3.1217222222222225</v>
      </c>
      <c r="W132" s="253"/>
      <c r="X132" s="254">
        <v>0</v>
      </c>
      <c r="Y132" s="255">
        <v>1</v>
      </c>
      <c r="Z132" s="256">
        <v>0.3</v>
      </c>
      <c r="AA132" s="253"/>
      <c r="AB132" s="257">
        <f t="shared" si="9"/>
        <v>2.8095499999999998</v>
      </c>
      <c r="AC132" s="263"/>
    </row>
    <row r="133" spans="1:29" s="260" customFormat="1">
      <c r="B133" s="242" t="s">
        <v>380</v>
      </c>
      <c r="C133" s="243"/>
      <c r="D133" s="267"/>
      <c r="E133" s="244" t="s">
        <v>268</v>
      </c>
      <c r="F133" s="278"/>
      <c r="G133" s="246">
        <v>3.4800000000000004</v>
      </c>
      <c r="H133" s="247">
        <v>1.1999999999999993</v>
      </c>
      <c r="I133" s="246">
        <f t="shared" si="5"/>
        <v>2.34</v>
      </c>
      <c r="J133" s="274"/>
      <c r="K133" s="246">
        <v>1.9700000000000006</v>
      </c>
      <c r="L133" s="246">
        <v>5.65</v>
      </c>
      <c r="M133" s="246">
        <v>1.2799999999999994</v>
      </c>
      <c r="N133" s="246">
        <v>2.4000000000000004</v>
      </c>
      <c r="O133" s="249">
        <f t="shared" si="6"/>
        <v>3.1070000000000002</v>
      </c>
      <c r="P133" s="279"/>
      <c r="Q133" s="246">
        <v>4.37</v>
      </c>
      <c r="R133" s="246">
        <v>6.1400000000000006</v>
      </c>
      <c r="S133" s="246">
        <v>1.2300000000000004</v>
      </c>
      <c r="T133" s="249">
        <f t="shared" si="7"/>
        <v>3.913333333333334</v>
      </c>
      <c r="U133" s="251"/>
      <c r="V133" s="252">
        <f t="shared" si="8"/>
        <v>3.1201111111111111</v>
      </c>
      <c r="W133" s="253"/>
      <c r="X133" s="254">
        <v>0</v>
      </c>
      <c r="Y133" s="255">
        <v>0.4</v>
      </c>
      <c r="Z133" s="256">
        <v>0.2</v>
      </c>
      <c r="AA133" s="253"/>
      <c r="AB133" s="257">
        <f t="shared" si="9"/>
        <v>2.8081000000000005</v>
      </c>
      <c r="AC133" s="258"/>
    </row>
    <row r="134" spans="1:29" s="260" customFormat="1">
      <c r="B134" s="242" t="s">
        <v>381</v>
      </c>
      <c r="C134" s="243"/>
      <c r="D134" s="267"/>
      <c r="E134" s="244" t="s">
        <v>256</v>
      </c>
      <c r="F134" s="234"/>
      <c r="G134" s="246">
        <v>9.52</v>
      </c>
      <c r="H134" s="247">
        <v>0.36999999999999922</v>
      </c>
      <c r="I134" s="246">
        <f t="shared" si="5"/>
        <v>4.9449999999999994</v>
      </c>
      <c r="J134" s="281"/>
      <c r="K134" s="246">
        <v>2.2199999999999998</v>
      </c>
      <c r="L134" s="246">
        <v>1.5700000000000003</v>
      </c>
      <c r="M134" s="246">
        <v>1.9299999999999997</v>
      </c>
      <c r="N134" s="246">
        <v>2.09</v>
      </c>
      <c r="O134" s="249">
        <f t="shared" si="6"/>
        <v>1.9135</v>
      </c>
      <c r="P134" s="282"/>
      <c r="Q134" s="246">
        <v>2.2400000000000002</v>
      </c>
      <c r="R134" s="246">
        <v>1.1600000000000001</v>
      </c>
      <c r="S134" s="246">
        <v>1.33</v>
      </c>
      <c r="T134" s="249">
        <f t="shared" si="7"/>
        <v>1.5766666666666669</v>
      </c>
      <c r="U134" s="251"/>
      <c r="V134" s="252">
        <f t="shared" si="8"/>
        <v>2.811722222222222</v>
      </c>
      <c r="W134" s="271"/>
      <c r="X134" s="254">
        <v>2.6666666666666665</v>
      </c>
      <c r="Y134" s="255">
        <v>0.2</v>
      </c>
      <c r="Z134" s="256">
        <v>4.5</v>
      </c>
      <c r="AA134" s="253"/>
      <c r="AB134" s="257">
        <f t="shared" si="9"/>
        <v>2.7972166666666665</v>
      </c>
      <c r="AC134" s="263"/>
    </row>
    <row r="135" spans="1:29" s="260" customFormat="1">
      <c r="B135" s="242" t="s">
        <v>382</v>
      </c>
      <c r="C135" s="243"/>
      <c r="D135" s="267"/>
      <c r="E135" s="244" t="s">
        <v>256</v>
      </c>
      <c r="F135" s="278"/>
      <c r="G135" s="246">
        <v>0.88000000000000078</v>
      </c>
      <c r="H135" s="247">
        <v>0.11999999999999922</v>
      </c>
      <c r="I135" s="246">
        <f t="shared" si="5"/>
        <v>0.5</v>
      </c>
      <c r="J135" s="274"/>
      <c r="K135" s="246">
        <v>2.6100000000000003</v>
      </c>
      <c r="L135" s="246">
        <v>4.41</v>
      </c>
      <c r="M135" s="246">
        <v>0.97000000000000064</v>
      </c>
      <c r="N135" s="246">
        <v>4.47</v>
      </c>
      <c r="O135" s="249">
        <f t="shared" si="6"/>
        <v>2.923</v>
      </c>
      <c r="P135" s="279"/>
      <c r="Q135" s="246">
        <v>4.6399999999999997</v>
      </c>
      <c r="R135" s="246">
        <v>7.75</v>
      </c>
      <c r="S135" s="246">
        <v>4.7</v>
      </c>
      <c r="T135" s="249">
        <f t="shared" si="7"/>
        <v>5.6966666666666663</v>
      </c>
      <c r="U135" s="262"/>
      <c r="V135" s="252">
        <f t="shared" si="8"/>
        <v>3.0398888888888891</v>
      </c>
      <c r="W135" s="253"/>
      <c r="X135" s="254">
        <v>0.33333333333333331</v>
      </c>
      <c r="Y135" s="255">
        <v>0.2</v>
      </c>
      <c r="Z135" s="256">
        <v>0.2</v>
      </c>
      <c r="AA135" s="253"/>
      <c r="AB135" s="257">
        <f t="shared" si="9"/>
        <v>2.7692333333333332</v>
      </c>
      <c r="AC135" s="263"/>
    </row>
    <row r="136" spans="1:29" s="260" customFormat="1">
      <c r="B136" s="242" t="s">
        <v>383</v>
      </c>
      <c r="C136" s="243"/>
      <c r="D136" s="267"/>
      <c r="E136" s="244" t="s">
        <v>268</v>
      </c>
      <c r="F136" s="278"/>
      <c r="G136" s="246">
        <v>4.2300000000000004</v>
      </c>
      <c r="H136" s="247">
        <v>0.15000000000000036</v>
      </c>
      <c r="I136" s="246">
        <f t="shared" ref="I136:I154" si="10">(G136*0.5)+(H136*0.5)</f>
        <v>2.1900000000000004</v>
      </c>
      <c r="J136" s="274"/>
      <c r="K136" s="246">
        <v>1.9000000000000004</v>
      </c>
      <c r="L136" s="246">
        <v>3.96</v>
      </c>
      <c r="M136" s="246">
        <v>1.6400000000000006</v>
      </c>
      <c r="N136" s="246">
        <v>2.8200000000000003</v>
      </c>
      <c r="O136" s="249">
        <f t="shared" ref="O136:O154" si="11">(K136*0.35)+(L136*0.35)+(M136*0.25)+(N136*0.05)</f>
        <v>2.6020000000000003</v>
      </c>
      <c r="P136" s="279"/>
      <c r="Q136" s="246">
        <v>4.1900000000000004</v>
      </c>
      <c r="R136" s="246">
        <v>6.98</v>
      </c>
      <c r="S136" s="246">
        <v>2.04</v>
      </c>
      <c r="T136" s="249">
        <f t="shared" ref="T136:T154" si="12">SUM(Q136:S136)/3</f>
        <v>4.4033333333333333</v>
      </c>
      <c r="U136" s="262"/>
      <c r="V136" s="252">
        <f t="shared" ref="V136:V154" si="13">(I136+O136+T136)/3</f>
        <v>3.0651111111111113</v>
      </c>
      <c r="W136" s="253"/>
      <c r="X136" s="254">
        <v>0</v>
      </c>
      <c r="Y136" s="255">
        <v>1</v>
      </c>
      <c r="Z136" s="256">
        <v>0.3</v>
      </c>
      <c r="AA136" s="253"/>
      <c r="AB136" s="257">
        <f t="shared" ref="AB136:AB154" si="14">(I136*0.3)+(O136*0.3)+(T136*0.3)+(X136*0.1)</f>
        <v>2.7586000000000004</v>
      </c>
      <c r="AC136" s="263"/>
    </row>
    <row r="137" spans="1:29" s="260" customFormat="1">
      <c r="B137" s="242" t="s">
        <v>384</v>
      </c>
      <c r="C137" s="243"/>
      <c r="D137" s="267"/>
      <c r="E137" s="244" t="s">
        <v>251</v>
      </c>
      <c r="F137" s="273"/>
      <c r="G137" s="246">
        <v>3.26</v>
      </c>
      <c r="H137" s="247">
        <v>4.6500000000000004</v>
      </c>
      <c r="I137" s="246">
        <f t="shared" si="10"/>
        <v>3.9550000000000001</v>
      </c>
      <c r="J137" s="274"/>
      <c r="K137" s="246">
        <v>1.4900000000000002</v>
      </c>
      <c r="L137" s="246">
        <v>1.5500000000000007</v>
      </c>
      <c r="M137" s="246">
        <v>3.9299999999999997</v>
      </c>
      <c r="N137" s="246">
        <v>3.34</v>
      </c>
      <c r="O137" s="249">
        <f t="shared" si="11"/>
        <v>2.2134999999999998</v>
      </c>
      <c r="P137" s="279"/>
      <c r="Q137" s="246">
        <v>4</v>
      </c>
      <c r="R137" s="246">
        <v>3.0599999999999996</v>
      </c>
      <c r="S137" s="246">
        <v>1.3000000000000007</v>
      </c>
      <c r="T137" s="249">
        <f t="shared" si="12"/>
        <v>2.7866666666666666</v>
      </c>
      <c r="U137" s="251"/>
      <c r="V137" s="252">
        <f t="shared" si="13"/>
        <v>2.9850555555555558</v>
      </c>
      <c r="W137" s="253"/>
      <c r="X137" s="254">
        <v>0.66666666666666663</v>
      </c>
      <c r="Y137" s="255">
        <v>0.2</v>
      </c>
      <c r="Z137" s="256">
        <v>0.4</v>
      </c>
      <c r="AA137" s="253"/>
      <c r="AB137" s="257">
        <f t="shared" si="14"/>
        <v>2.7532166666666664</v>
      </c>
      <c r="AC137" s="263"/>
    </row>
    <row r="138" spans="1:29" s="260" customFormat="1">
      <c r="B138" s="242" t="s">
        <v>385</v>
      </c>
      <c r="C138" s="243"/>
      <c r="D138" s="267"/>
      <c r="E138" s="244" t="s">
        <v>268</v>
      </c>
      <c r="F138" s="278"/>
      <c r="G138" s="246">
        <v>2.66</v>
      </c>
      <c r="H138" s="247">
        <v>0.83000000000000007</v>
      </c>
      <c r="I138" s="246">
        <f t="shared" si="10"/>
        <v>1.7450000000000001</v>
      </c>
      <c r="J138" s="274"/>
      <c r="K138" s="246">
        <v>2.17</v>
      </c>
      <c r="L138" s="246">
        <v>5.04</v>
      </c>
      <c r="M138" s="246">
        <v>1.1999999999999993</v>
      </c>
      <c r="N138" s="246">
        <v>2.9699999999999998</v>
      </c>
      <c r="O138" s="249">
        <f t="shared" si="11"/>
        <v>2.9719999999999995</v>
      </c>
      <c r="P138" s="279"/>
      <c r="Q138" s="246">
        <v>4.16</v>
      </c>
      <c r="R138" s="246">
        <v>6.59</v>
      </c>
      <c r="S138" s="246">
        <v>2.2800000000000002</v>
      </c>
      <c r="T138" s="249">
        <f t="shared" si="12"/>
        <v>4.3433333333333337</v>
      </c>
      <c r="U138" s="262"/>
      <c r="V138" s="252">
        <f t="shared" si="13"/>
        <v>3.020111111111111</v>
      </c>
      <c r="W138" s="253"/>
      <c r="X138" s="254">
        <v>0</v>
      </c>
      <c r="Y138" s="255">
        <v>0.4</v>
      </c>
      <c r="Z138" s="256">
        <v>0.2</v>
      </c>
      <c r="AA138" s="253"/>
      <c r="AB138" s="257">
        <f t="shared" si="14"/>
        <v>2.7180999999999997</v>
      </c>
      <c r="AC138" s="263"/>
    </row>
    <row r="139" spans="1:29" s="260" customFormat="1">
      <c r="B139" s="242" t="s">
        <v>386</v>
      </c>
      <c r="C139" s="243"/>
      <c r="D139" s="267"/>
      <c r="E139" s="244" t="s">
        <v>268</v>
      </c>
      <c r="F139" s="278"/>
      <c r="G139" s="246">
        <v>2.4299999999999997</v>
      </c>
      <c r="H139" s="247">
        <v>0.94999999999999929</v>
      </c>
      <c r="I139" s="246">
        <f t="shared" si="10"/>
        <v>1.6899999999999995</v>
      </c>
      <c r="J139" s="274"/>
      <c r="K139" s="246">
        <v>2.62</v>
      </c>
      <c r="L139" s="246">
        <v>4.24</v>
      </c>
      <c r="M139" s="246">
        <v>1.3100000000000005</v>
      </c>
      <c r="N139" s="246">
        <v>3.59</v>
      </c>
      <c r="O139" s="249">
        <f t="shared" si="11"/>
        <v>2.9079999999999999</v>
      </c>
      <c r="P139" s="279"/>
      <c r="Q139" s="246">
        <v>4.1500000000000004</v>
      </c>
      <c r="R139" s="246">
        <v>6.77</v>
      </c>
      <c r="S139" s="246">
        <v>2.1900000000000004</v>
      </c>
      <c r="T139" s="249">
        <f t="shared" si="12"/>
        <v>4.37</v>
      </c>
      <c r="U139" s="262"/>
      <c r="V139" s="252">
        <f t="shared" si="13"/>
        <v>2.9893333333333332</v>
      </c>
      <c r="W139" s="253"/>
      <c r="X139" s="254">
        <v>0</v>
      </c>
      <c r="Y139" s="272">
        <v>0.4</v>
      </c>
      <c r="Z139" s="256">
        <v>0.2</v>
      </c>
      <c r="AA139" s="253"/>
      <c r="AB139" s="257">
        <f t="shared" si="14"/>
        <v>2.6903999999999995</v>
      </c>
      <c r="AC139" s="283"/>
    </row>
    <row r="140" spans="1:29" s="260" customFormat="1">
      <c r="B140" s="242" t="s">
        <v>387</v>
      </c>
      <c r="C140" s="243"/>
      <c r="D140" s="267"/>
      <c r="E140" s="244" t="s">
        <v>247</v>
      </c>
      <c r="F140" s="273"/>
      <c r="G140" s="246">
        <v>2.9000000000000004</v>
      </c>
      <c r="H140" s="247">
        <v>0.15000000000000036</v>
      </c>
      <c r="I140" s="246">
        <f t="shared" si="10"/>
        <v>1.5250000000000004</v>
      </c>
      <c r="J140" s="274"/>
      <c r="K140" s="246">
        <v>2.37</v>
      </c>
      <c r="L140" s="246">
        <v>3.7300000000000004</v>
      </c>
      <c r="M140" s="246">
        <v>1.1400000000000006</v>
      </c>
      <c r="N140" s="246">
        <v>2.8</v>
      </c>
      <c r="O140" s="249">
        <f t="shared" si="11"/>
        <v>2.5600000000000005</v>
      </c>
      <c r="P140" s="279"/>
      <c r="Q140" s="246">
        <v>4.07</v>
      </c>
      <c r="R140" s="246">
        <v>5.9</v>
      </c>
      <c r="S140" s="246">
        <v>2.92</v>
      </c>
      <c r="T140" s="249">
        <f t="shared" si="12"/>
        <v>4.2966666666666669</v>
      </c>
      <c r="U140" s="251"/>
      <c r="V140" s="252">
        <f t="shared" si="13"/>
        <v>2.7938888888888891</v>
      </c>
      <c r="W140" s="253"/>
      <c r="X140" s="254">
        <v>0.66666666666666663</v>
      </c>
      <c r="Y140" s="255">
        <v>0.4</v>
      </c>
      <c r="Z140" s="256">
        <v>0.5</v>
      </c>
      <c r="AA140" s="253"/>
      <c r="AB140" s="257">
        <f t="shared" si="14"/>
        <v>2.5811666666666668</v>
      </c>
      <c r="AC140" s="258"/>
    </row>
    <row r="141" spans="1:29" s="260" customFormat="1">
      <c r="B141" s="242" t="s">
        <v>388</v>
      </c>
      <c r="C141" s="243"/>
      <c r="D141" s="267"/>
      <c r="E141" s="244" t="s">
        <v>268</v>
      </c>
      <c r="F141" s="273"/>
      <c r="G141" s="246">
        <v>1.6600000000000001</v>
      </c>
      <c r="H141" s="247">
        <v>0.58000000000000007</v>
      </c>
      <c r="I141" s="246">
        <f t="shared" si="10"/>
        <v>1.1200000000000001</v>
      </c>
      <c r="J141" s="274"/>
      <c r="K141" s="246">
        <v>2.0700000000000003</v>
      </c>
      <c r="L141" s="246">
        <v>3.96</v>
      </c>
      <c r="M141" s="246">
        <v>1.3499999999999996</v>
      </c>
      <c r="N141" s="246">
        <v>3.59</v>
      </c>
      <c r="O141" s="249">
        <f t="shared" si="11"/>
        <v>2.6274999999999999</v>
      </c>
      <c r="P141" s="279"/>
      <c r="Q141" s="246">
        <v>4.82</v>
      </c>
      <c r="R141" s="246">
        <v>6.82</v>
      </c>
      <c r="S141" s="246">
        <v>2.13</v>
      </c>
      <c r="T141" s="249">
        <f t="shared" si="12"/>
        <v>4.59</v>
      </c>
      <c r="U141" s="262"/>
      <c r="V141" s="252">
        <f t="shared" si="13"/>
        <v>2.7791666666666668</v>
      </c>
      <c r="W141" s="253"/>
      <c r="X141" s="254">
        <v>0</v>
      </c>
      <c r="Y141" s="255">
        <v>0.4</v>
      </c>
      <c r="Z141" s="256">
        <v>0.2</v>
      </c>
      <c r="AA141" s="253"/>
      <c r="AB141" s="257">
        <f t="shared" si="14"/>
        <v>2.5012499999999998</v>
      </c>
      <c r="AC141" s="258"/>
    </row>
    <row r="142" spans="1:29" s="260" customFormat="1">
      <c r="B142" s="242" t="s">
        <v>389</v>
      </c>
      <c r="C142" s="243"/>
      <c r="D142" s="267"/>
      <c r="E142" s="244" t="s">
        <v>251</v>
      </c>
      <c r="F142" s="273"/>
      <c r="G142" s="246">
        <v>0.33999999999999986</v>
      </c>
      <c r="H142" s="247">
        <v>4.34</v>
      </c>
      <c r="I142" s="246">
        <f t="shared" si="10"/>
        <v>2.34</v>
      </c>
      <c r="J142" s="274"/>
      <c r="K142" s="246">
        <v>1.83</v>
      </c>
      <c r="L142" s="246">
        <v>2.58</v>
      </c>
      <c r="M142" s="246">
        <v>1.4299999999999997</v>
      </c>
      <c r="N142" s="246">
        <v>3.54</v>
      </c>
      <c r="O142" s="249">
        <f t="shared" si="11"/>
        <v>2.0779999999999998</v>
      </c>
      <c r="P142" s="279"/>
      <c r="Q142" s="246">
        <v>6</v>
      </c>
      <c r="R142" s="246">
        <v>2.8499999999999996</v>
      </c>
      <c r="S142" s="246">
        <v>1.4000000000000004</v>
      </c>
      <c r="T142" s="249">
        <f t="shared" si="12"/>
        <v>3.4166666666666665</v>
      </c>
      <c r="U142" s="262"/>
      <c r="V142" s="252">
        <f t="shared" si="13"/>
        <v>2.611555555555555</v>
      </c>
      <c r="W142" s="253"/>
      <c r="X142" s="254">
        <v>1</v>
      </c>
      <c r="Y142" s="255">
        <v>7.6</v>
      </c>
      <c r="Z142" s="256">
        <v>2.2000000000000002</v>
      </c>
      <c r="AA142" s="253"/>
      <c r="AB142" s="257">
        <f t="shared" si="14"/>
        <v>2.4503999999999997</v>
      </c>
      <c r="AC142" s="258"/>
    </row>
    <row r="143" spans="1:29" s="260" customFormat="1">
      <c r="B143" s="242" t="s">
        <v>390</v>
      </c>
      <c r="C143" s="243"/>
      <c r="D143" s="267"/>
      <c r="E143" s="244" t="s">
        <v>247</v>
      </c>
      <c r="F143" s="273"/>
      <c r="G143" s="246">
        <v>0.65000000000000036</v>
      </c>
      <c r="H143" s="247">
        <v>0.5600000000000005</v>
      </c>
      <c r="I143" s="246">
        <f t="shared" si="10"/>
        <v>0.60500000000000043</v>
      </c>
      <c r="J143" s="274"/>
      <c r="K143" s="246">
        <v>2.0099999999999998</v>
      </c>
      <c r="L143" s="246">
        <v>3.4800000000000004</v>
      </c>
      <c r="M143" s="246">
        <v>1.08</v>
      </c>
      <c r="N143" s="246">
        <v>1.7699999999999996</v>
      </c>
      <c r="O143" s="249">
        <f t="shared" si="11"/>
        <v>2.2799999999999998</v>
      </c>
      <c r="P143" s="279"/>
      <c r="Q143" s="246">
        <v>4.95</v>
      </c>
      <c r="R143" s="246">
        <v>5.53</v>
      </c>
      <c r="S143" s="246">
        <v>4.54</v>
      </c>
      <c r="T143" s="249">
        <f t="shared" si="12"/>
        <v>5.0066666666666668</v>
      </c>
      <c r="U143" s="262"/>
      <c r="V143" s="252">
        <f t="shared" si="13"/>
        <v>2.630555555555556</v>
      </c>
      <c r="W143" s="253"/>
      <c r="X143" s="254">
        <v>0.66666666666666663</v>
      </c>
      <c r="Y143" s="255">
        <v>0.4</v>
      </c>
      <c r="Z143" s="256">
        <v>0.5</v>
      </c>
      <c r="AA143" s="253"/>
      <c r="AB143" s="257">
        <f t="shared" si="14"/>
        <v>2.434166666666667</v>
      </c>
      <c r="AC143" s="263"/>
    </row>
    <row r="144" spans="1:29" s="260" customFormat="1">
      <c r="A144" s="241"/>
      <c r="B144" s="242" t="s">
        <v>391</v>
      </c>
      <c r="C144" s="243"/>
      <c r="D144" s="267"/>
      <c r="E144" s="244" t="s">
        <v>256</v>
      </c>
      <c r="F144" s="278"/>
      <c r="G144" s="246">
        <v>6.24</v>
      </c>
      <c r="H144" s="247">
        <v>0.11999999999999922</v>
      </c>
      <c r="I144" s="246">
        <f t="shared" si="10"/>
        <v>3.1799999999999997</v>
      </c>
      <c r="J144" s="274"/>
      <c r="K144" s="246">
        <v>1.8000000000000007</v>
      </c>
      <c r="L144" s="246">
        <v>1.4700000000000006</v>
      </c>
      <c r="M144" s="246">
        <v>1.8000000000000007</v>
      </c>
      <c r="N144" s="246">
        <v>2</v>
      </c>
      <c r="O144" s="249">
        <f t="shared" si="11"/>
        <v>1.6945000000000006</v>
      </c>
      <c r="P144" s="279"/>
      <c r="Q144" s="246">
        <v>2.79</v>
      </c>
      <c r="R144" s="246">
        <v>3.6799999999999997</v>
      </c>
      <c r="S144" s="246">
        <v>1.4499999999999993</v>
      </c>
      <c r="T144" s="249">
        <f t="shared" si="12"/>
        <v>2.6399999999999997</v>
      </c>
      <c r="U144" s="251"/>
      <c r="V144" s="252">
        <f t="shared" si="13"/>
        <v>2.5048333333333335</v>
      </c>
      <c r="W144" s="253"/>
      <c r="X144" s="254">
        <v>1</v>
      </c>
      <c r="Y144" s="255">
        <v>0.2</v>
      </c>
      <c r="Z144" s="256">
        <v>0.7</v>
      </c>
      <c r="AA144" s="271"/>
      <c r="AB144" s="257">
        <f t="shared" si="14"/>
        <v>2.3543500000000002</v>
      </c>
      <c r="AC144" s="263"/>
    </row>
    <row r="145" spans="1:29" s="260" customFormat="1">
      <c r="A145" s="241"/>
      <c r="B145" s="242" t="s">
        <v>392</v>
      </c>
      <c r="C145" s="243"/>
      <c r="D145" s="267"/>
      <c r="E145" s="244" t="s">
        <v>268</v>
      </c>
      <c r="F145" s="278"/>
      <c r="G145" s="246">
        <v>2.38</v>
      </c>
      <c r="H145" s="247">
        <v>0.44999999999999929</v>
      </c>
      <c r="I145" s="246">
        <f t="shared" si="10"/>
        <v>1.4149999999999996</v>
      </c>
      <c r="J145" s="274"/>
      <c r="K145" s="246">
        <v>2.25</v>
      </c>
      <c r="L145" s="246">
        <v>2.5499999999999998</v>
      </c>
      <c r="M145" s="246">
        <v>2.1799999999999997</v>
      </c>
      <c r="N145" s="246">
        <v>1.8200000000000003</v>
      </c>
      <c r="O145" s="249">
        <f t="shared" si="11"/>
        <v>2.3159999999999998</v>
      </c>
      <c r="P145" s="279"/>
      <c r="Q145" s="246">
        <v>3.09</v>
      </c>
      <c r="R145" s="246">
        <v>5.45</v>
      </c>
      <c r="S145" s="246">
        <v>2.0199999999999996</v>
      </c>
      <c r="T145" s="249">
        <f t="shared" si="12"/>
        <v>3.5199999999999996</v>
      </c>
      <c r="U145" s="262"/>
      <c r="V145" s="252">
        <f t="shared" si="13"/>
        <v>2.4169999999999998</v>
      </c>
      <c r="W145" s="253"/>
      <c r="X145" s="254">
        <v>1.3333333333333333</v>
      </c>
      <c r="Y145" s="255">
        <v>1.8</v>
      </c>
      <c r="Z145" s="256">
        <v>1.5</v>
      </c>
      <c r="AA145" s="253"/>
      <c r="AB145" s="257">
        <f t="shared" si="14"/>
        <v>2.3086333333333333</v>
      </c>
      <c r="AC145" s="263"/>
    </row>
    <row r="146" spans="1:29" s="260" customFormat="1">
      <c r="B146" s="242" t="s">
        <v>393</v>
      </c>
      <c r="C146" s="243"/>
      <c r="D146" s="243" t="s">
        <v>265</v>
      </c>
      <c r="E146" s="244" t="s">
        <v>251</v>
      </c>
      <c r="F146" s="273"/>
      <c r="G146" s="246">
        <v>2.41</v>
      </c>
      <c r="H146" s="247">
        <v>1.7899999999999991</v>
      </c>
      <c r="I146" s="246">
        <f t="shared" si="10"/>
        <v>2.0999999999999996</v>
      </c>
      <c r="J146" s="281"/>
      <c r="K146" s="246">
        <v>1.6500000000000004</v>
      </c>
      <c r="L146" s="246">
        <v>1.7300000000000004</v>
      </c>
      <c r="M146" s="246">
        <v>0.82000000000000028</v>
      </c>
      <c r="N146" s="246">
        <v>3.0999999999999996</v>
      </c>
      <c r="O146" s="249">
        <f t="shared" si="11"/>
        <v>1.5430000000000004</v>
      </c>
      <c r="P146" s="282"/>
      <c r="Q146" s="246">
        <v>5.71</v>
      </c>
      <c r="R146" s="246">
        <v>2.0099999999999998</v>
      </c>
      <c r="S146" s="246">
        <v>1.4900000000000002</v>
      </c>
      <c r="T146" s="249">
        <f t="shared" si="12"/>
        <v>3.0700000000000003</v>
      </c>
      <c r="U146" s="262"/>
      <c r="V146" s="252">
        <f t="shared" si="13"/>
        <v>2.2376666666666667</v>
      </c>
      <c r="W146" s="271"/>
      <c r="X146" s="254">
        <v>2.3333333333333335</v>
      </c>
      <c r="Y146" s="255">
        <v>0.2</v>
      </c>
      <c r="Z146" s="256">
        <v>3.6</v>
      </c>
      <c r="AA146" s="253"/>
      <c r="AB146" s="257">
        <f t="shared" si="14"/>
        <v>2.2472333333333334</v>
      </c>
      <c r="AC146" s="258"/>
    </row>
    <row r="147" spans="1:29" s="260" customFormat="1">
      <c r="B147" s="242" t="s">
        <v>394</v>
      </c>
      <c r="C147" s="243"/>
      <c r="D147" s="267"/>
      <c r="E147" s="244" t="s">
        <v>268</v>
      </c>
      <c r="F147" s="273"/>
      <c r="G147" s="246">
        <v>2.0700000000000003</v>
      </c>
      <c r="H147" s="247">
        <v>1.2599999999999998</v>
      </c>
      <c r="I147" s="246">
        <f t="shared" si="10"/>
        <v>1.665</v>
      </c>
      <c r="J147" s="274"/>
      <c r="K147" s="246">
        <v>2.2000000000000002</v>
      </c>
      <c r="L147" s="246">
        <v>2.62</v>
      </c>
      <c r="M147" s="246">
        <v>1.4800000000000004</v>
      </c>
      <c r="N147" s="246">
        <v>1.75</v>
      </c>
      <c r="O147" s="249">
        <f t="shared" si="11"/>
        <v>2.1444999999999999</v>
      </c>
      <c r="P147" s="279"/>
      <c r="Q147" s="246">
        <v>3.7800000000000002</v>
      </c>
      <c r="R147" s="246">
        <v>4.53</v>
      </c>
      <c r="S147" s="246">
        <v>2.3600000000000003</v>
      </c>
      <c r="T147" s="249">
        <f t="shared" si="12"/>
        <v>3.5566666666666671</v>
      </c>
      <c r="U147" s="262"/>
      <c r="V147" s="252">
        <f t="shared" si="13"/>
        <v>2.4553888888888888</v>
      </c>
      <c r="W147" s="253"/>
      <c r="X147" s="254">
        <v>0</v>
      </c>
      <c r="Y147" s="255">
        <v>1</v>
      </c>
      <c r="Z147" s="256">
        <v>0.3</v>
      </c>
      <c r="AA147" s="253"/>
      <c r="AB147" s="257">
        <f t="shared" si="14"/>
        <v>2.2098500000000003</v>
      </c>
      <c r="AC147" s="263"/>
    </row>
    <row r="148" spans="1:29" s="260" customFormat="1">
      <c r="B148" s="242" t="s">
        <v>395</v>
      </c>
      <c r="C148" s="243"/>
      <c r="D148" s="267"/>
      <c r="E148" s="244" t="s">
        <v>251</v>
      </c>
      <c r="F148" s="278"/>
      <c r="G148" s="246">
        <v>0.92999999999999972</v>
      </c>
      <c r="H148" s="247">
        <v>2.4900000000000002</v>
      </c>
      <c r="I148" s="246">
        <f t="shared" si="10"/>
        <v>1.71</v>
      </c>
      <c r="J148" s="274"/>
      <c r="K148" s="246">
        <v>1.75</v>
      </c>
      <c r="L148" s="246">
        <v>2.2000000000000002</v>
      </c>
      <c r="M148" s="246">
        <v>0.58000000000000007</v>
      </c>
      <c r="N148" s="246">
        <v>3.58</v>
      </c>
      <c r="O148" s="249">
        <f t="shared" si="11"/>
        <v>1.7064999999999999</v>
      </c>
      <c r="P148" s="279"/>
      <c r="Q148" s="246">
        <v>5.31</v>
      </c>
      <c r="R148" s="246">
        <v>2.67</v>
      </c>
      <c r="S148" s="246">
        <v>2.4900000000000002</v>
      </c>
      <c r="T148" s="249">
        <f t="shared" si="12"/>
        <v>3.4899999999999998</v>
      </c>
      <c r="U148" s="251"/>
      <c r="V148" s="252">
        <f t="shared" si="13"/>
        <v>2.3021666666666665</v>
      </c>
      <c r="W148" s="253"/>
      <c r="X148" s="254">
        <v>1.3333333333333333</v>
      </c>
      <c r="Y148" s="255">
        <v>1</v>
      </c>
      <c r="Z148" s="256">
        <v>1.3</v>
      </c>
      <c r="AA148" s="253"/>
      <c r="AB148" s="257">
        <f t="shared" si="14"/>
        <v>2.2052833333333335</v>
      </c>
      <c r="AC148" s="263"/>
    </row>
    <row r="149" spans="1:29" s="260" customFormat="1">
      <c r="B149" s="242" t="s">
        <v>396</v>
      </c>
      <c r="C149" s="243"/>
      <c r="D149" s="267"/>
      <c r="E149" s="244" t="s">
        <v>256</v>
      </c>
      <c r="F149" s="273"/>
      <c r="G149" s="246">
        <v>3.87</v>
      </c>
      <c r="H149" s="247">
        <v>1.9499999999999993</v>
      </c>
      <c r="I149" s="246">
        <f t="shared" si="10"/>
        <v>2.9099999999999997</v>
      </c>
      <c r="J149" s="274"/>
      <c r="K149" s="246">
        <v>1.9299999999999997</v>
      </c>
      <c r="L149" s="246">
        <v>1.8000000000000007</v>
      </c>
      <c r="M149" s="246">
        <v>1.3499999999999996</v>
      </c>
      <c r="N149" s="246">
        <v>2.6900000000000004</v>
      </c>
      <c r="O149" s="249">
        <f t="shared" si="11"/>
        <v>1.7775000000000001</v>
      </c>
      <c r="P149" s="279"/>
      <c r="Q149" s="246">
        <v>2.2699999999999996</v>
      </c>
      <c r="R149" s="246">
        <v>2.2599999999999998</v>
      </c>
      <c r="S149" s="246">
        <v>1.3800000000000008</v>
      </c>
      <c r="T149" s="249">
        <f t="shared" si="12"/>
        <v>1.97</v>
      </c>
      <c r="U149" s="251"/>
      <c r="V149" s="252">
        <f t="shared" si="13"/>
        <v>2.2191666666666667</v>
      </c>
      <c r="W149" s="253"/>
      <c r="X149" s="254">
        <v>2</v>
      </c>
      <c r="Y149" s="255">
        <v>0.2</v>
      </c>
      <c r="Z149" s="256">
        <v>2.6</v>
      </c>
      <c r="AA149" s="253"/>
      <c r="AB149" s="257">
        <f t="shared" si="14"/>
        <v>2.1972499999999999</v>
      </c>
      <c r="AC149" s="263"/>
    </row>
    <row r="150" spans="1:29" s="260" customFormat="1">
      <c r="A150" s="241"/>
      <c r="B150" s="242" t="s">
        <v>397</v>
      </c>
      <c r="C150" s="243"/>
      <c r="D150" s="267"/>
      <c r="E150" s="244" t="s">
        <v>256</v>
      </c>
      <c r="F150" s="273"/>
      <c r="G150" s="246">
        <v>1.8900000000000006</v>
      </c>
      <c r="H150" s="247">
        <v>0.6899999999999995</v>
      </c>
      <c r="I150" s="246">
        <f t="shared" si="10"/>
        <v>1.29</v>
      </c>
      <c r="J150" s="274"/>
      <c r="K150" s="246">
        <v>1.5700000000000003</v>
      </c>
      <c r="L150" s="246">
        <v>2.5999999999999996</v>
      </c>
      <c r="M150" s="246">
        <v>0.86999999999999922</v>
      </c>
      <c r="N150" s="246">
        <v>4.6900000000000004</v>
      </c>
      <c r="O150" s="249">
        <f t="shared" si="11"/>
        <v>1.9114999999999998</v>
      </c>
      <c r="P150" s="279"/>
      <c r="Q150" s="246">
        <v>5.81</v>
      </c>
      <c r="R150" s="246">
        <v>2.5300000000000002</v>
      </c>
      <c r="S150" s="246">
        <v>2.0599999999999996</v>
      </c>
      <c r="T150" s="249">
        <f t="shared" si="12"/>
        <v>3.4666666666666663</v>
      </c>
      <c r="U150" s="251"/>
      <c r="V150" s="252">
        <f t="shared" si="13"/>
        <v>2.222722222222222</v>
      </c>
      <c r="W150" s="253"/>
      <c r="X150" s="254">
        <v>0</v>
      </c>
      <c r="Y150" s="255">
        <v>0.2</v>
      </c>
      <c r="Z150" s="256">
        <v>0.1</v>
      </c>
      <c r="AA150" s="253"/>
      <c r="AB150" s="257">
        <f t="shared" si="14"/>
        <v>2.0004499999999998</v>
      </c>
      <c r="AC150" s="263"/>
    </row>
    <row r="151" spans="1:29" s="260" customFormat="1">
      <c r="A151" s="241"/>
      <c r="B151" s="242" t="s">
        <v>398</v>
      </c>
      <c r="C151" s="243"/>
      <c r="D151" s="267"/>
      <c r="E151" s="244" t="s">
        <v>268</v>
      </c>
      <c r="F151" s="264"/>
      <c r="G151" s="246">
        <v>1.33</v>
      </c>
      <c r="H151" s="247">
        <v>1.1300000000000008</v>
      </c>
      <c r="I151" s="246">
        <f t="shared" si="10"/>
        <v>1.2300000000000004</v>
      </c>
      <c r="J151" s="274"/>
      <c r="K151" s="246">
        <v>1.9000000000000004</v>
      </c>
      <c r="L151" s="246">
        <v>2.9699999999999998</v>
      </c>
      <c r="M151" s="246">
        <v>1.3200000000000003</v>
      </c>
      <c r="N151" s="246">
        <v>1.5399999999999991</v>
      </c>
      <c r="O151" s="249">
        <f t="shared" si="11"/>
        <v>2.1114999999999999</v>
      </c>
      <c r="P151" s="279"/>
      <c r="Q151" s="246">
        <v>3.5700000000000003</v>
      </c>
      <c r="R151" s="246">
        <v>4.2300000000000004</v>
      </c>
      <c r="S151" s="246">
        <v>0.88000000000000078</v>
      </c>
      <c r="T151" s="249">
        <f t="shared" si="12"/>
        <v>2.893333333333334</v>
      </c>
      <c r="U151" s="251"/>
      <c r="V151" s="252">
        <f t="shared" si="13"/>
        <v>2.0782777777777781</v>
      </c>
      <c r="W151" s="253"/>
      <c r="X151" s="254">
        <v>1</v>
      </c>
      <c r="Y151" s="255">
        <v>1</v>
      </c>
      <c r="Z151" s="256">
        <v>0.9</v>
      </c>
      <c r="AA151" s="253"/>
      <c r="AB151" s="257">
        <f t="shared" si="14"/>
        <v>1.9704500000000005</v>
      </c>
      <c r="AC151" s="263"/>
    </row>
    <row r="152" spans="1:29" s="260" customFormat="1">
      <c r="A152" s="241"/>
      <c r="B152" s="242" t="s">
        <v>399</v>
      </c>
      <c r="C152" s="243"/>
      <c r="D152" s="267"/>
      <c r="E152" s="244" t="s">
        <v>256</v>
      </c>
      <c r="F152" s="264"/>
      <c r="G152" s="246">
        <v>2.4400000000000004</v>
      </c>
      <c r="H152" s="247">
        <v>1.1999999999999993</v>
      </c>
      <c r="I152" s="246">
        <f t="shared" si="10"/>
        <v>1.8199999999999998</v>
      </c>
      <c r="J152" s="274"/>
      <c r="K152" s="246">
        <v>1.7899999999999991</v>
      </c>
      <c r="L152" s="246">
        <v>1.3000000000000007</v>
      </c>
      <c r="M152" s="246">
        <v>1.8000000000000007</v>
      </c>
      <c r="N152" s="246">
        <v>2.8099999999999996</v>
      </c>
      <c r="O152" s="249">
        <f t="shared" si="11"/>
        <v>1.6720000000000002</v>
      </c>
      <c r="P152" s="279"/>
      <c r="Q152" s="246">
        <v>1.9700000000000006</v>
      </c>
      <c r="R152" s="246">
        <v>2.2800000000000002</v>
      </c>
      <c r="S152" s="246">
        <v>2.46</v>
      </c>
      <c r="T152" s="249">
        <f t="shared" si="12"/>
        <v>2.2366666666666668</v>
      </c>
      <c r="U152" s="262"/>
      <c r="V152" s="252">
        <f t="shared" si="13"/>
        <v>1.9095555555555557</v>
      </c>
      <c r="W152" s="253"/>
      <c r="X152" s="254">
        <v>1</v>
      </c>
      <c r="Y152" s="255">
        <v>0.2</v>
      </c>
      <c r="Z152" s="256">
        <v>0.7</v>
      </c>
      <c r="AA152" s="253"/>
      <c r="AB152" s="257">
        <f t="shared" si="14"/>
        <v>1.8186000000000002</v>
      </c>
      <c r="AC152" s="263"/>
    </row>
    <row r="153" spans="1:29" s="260" customFormat="1">
      <c r="A153" s="241"/>
      <c r="B153" s="242" t="s">
        <v>400</v>
      </c>
      <c r="C153" s="243"/>
      <c r="D153" s="267"/>
      <c r="E153" s="244" t="s">
        <v>251</v>
      </c>
      <c r="F153" s="278"/>
      <c r="G153" s="246">
        <v>0.23000000000000043</v>
      </c>
      <c r="H153" s="247">
        <v>0.99000000000000021</v>
      </c>
      <c r="I153" s="246">
        <f t="shared" si="10"/>
        <v>0.61000000000000032</v>
      </c>
      <c r="J153" s="274"/>
      <c r="K153" s="246">
        <v>1.8399999999999999</v>
      </c>
      <c r="L153" s="246">
        <v>2.2300000000000004</v>
      </c>
      <c r="M153" s="246">
        <v>0.51999999999999957</v>
      </c>
      <c r="N153" s="246">
        <v>3.5199999999999996</v>
      </c>
      <c r="O153" s="249">
        <f t="shared" si="11"/>
        <v>1.7304999999999999</v>
      </c>
      <c r="P153" s="279"/>
      <c r="Q153" s="246">
        <v>5.62</v>
      </c>
      <c r="R153" s="246">
        <v>2.1399999999999997</v>
      </c>
      <c r="S153" s="246">
        <v>1.8900000000000006</v>
      </c>
      <c r="T153" s="249">
        <f t="shared" si="12"/>
        <v>3.2166666666666668</v>
      </c>
      <c r="U153" s="262"/>
      <c r="V153" s="252">
        <f t="shared" si="13"/>
        <v>1.8523888888888891</v>
      </c>
      <c r="W153" s="253"/>
      <c r="X153" s="254">
        <v>0.33333333333333331</v>
      </c>
      <c r="Y153" s="272">
        <v>0.2</v>
      </c>
      <c r="Z153" s="256">
        <v>0.2</v>
      </c>
      <c r="AA153" s="253"/>
      <c r="AB153" s="257">
        <f t="shared" si="14"/>
        <v>1.7004833333333333</v>
      </c>
      <c r="AC153" s="263"/>
    </row>
    <row r="154" spans="1:29" s="260" customFormat="1">
      <c r="B154" s="242" t="s">
        <v>401</v>
      </c>
      <c r="C154" s="243"/>
      <c r="D154" s="267"/>
      <c r="E154" s="244" t="s">
        <v>256</v>
      </c>
      <c r="F154" s="234"/>
      <c r="G154" s="246">
        <v>1.9100000000000001</v>
      </c>
      <c r="H154" s="247">
        <v>0.58000000000000007</v>
      </c>
      <c r="I154" s="246">
        <f t="shared" si="10"/>
        <v>1.2450000000000001</v>
      </c>
      <c r="J154" s="276"/>
      <c r="K154" s="246">
        <v>1.3800000000000008</v>
      </c>
      <c r="L154" s="246">
        <v>1.6300000000000008</v>
      </c>
      <c r="M154" s="246">
        <v>1.2100000000000009</v>
      </c>
      <c r="N154" s="246">
        <v>2.74</v>
      </c>
      <c r="O154" s="249">
        <f t="shared" si="11"/>
        <v>1.4930000000000008</v>
      </c>
      <c r="P154" s="277"/>
      <c r="Q154" s="246">
        <v>3.49</v>
      </c>
      <c r="R154" s="246">
        <v>1.6799999999999997</v>
      </c>
      <c r="S154" s="246">
        <v>1.17</v>
      </c>
      <c r="T154" s="249">
        <f t="shared" si="12"/>
        <v>2.1133333333333333</v>
      </c>
      <c r="U154" s="251"/>
      <c r="V154" s="252">
        <f t="shared" si="13"/>
        <v>1.6171111111111116</v>
      </c>
      <c r="W154" s="253"/>
      <c r="X154" s="254">
        <v>0</v>
      </c>
      <c r="Y154" s="255">
        <v>0.2</v>
      </c>
      <c r="Z154" s="256">
        <v>0.1</v>
      </c>
      <c r="AA154" s="253"/>
      <c r="AB154" s="257">
        <f t="shared" si="14"/>
        <v>1.4554000000000002</v>
      </c>
      <c r="AC154" s="258"/>
    </row>
    <row r="155" spans="1:29" s="284" customFormat="1">
      <c r="C155" s="285"/>
      <c r="D155" s="285"/>
      <c r="E155" s="286"/>
      <c r="F155" s="287"/>
      <c r="I155" s="288"/>
      <c r="J155" s="215"/>
      <c r="O155" s="288"/>
      <c r="P155" s="215"/>
      <c r="T155" s="288"/>
      <c r="V155" s="289"/>
      <c r="X155" s="290"/>
      <c r="Y155" s="291"/>
      <c r="Z155" s="292"/>
      <c r="AB155" s="293"/>
      <c r="AC155" s="294"/>
    </row>
    <row r="156" spans="1:29" s="284" customFormat="1" ht="12.75" customHeight="1">
      <c r="B156" s="295" t="s">
        <v>225</v>
      </c>
      <c r="C156" s="296"/>
      <c r="D156" s="297" t="s">
        <v>402</v>
      </c>
      <c r="E156" s="298"/>
      <c r="F156" s="299"/>
      <c r="G156" s="300"/>
      <c r="H156" s="300"/>
      <c r="I156" s="301"/>
      <c r="J156" s="302"/>
      <c r="K156" s="300"/>
      <c r="L156" s="300"/>
      <c r="M156" s="300"/>
      <c r="N156" s="300"/>
      <c r="O156" s="301"/>
      <c r="P156" s="302"/>
      <c r="Q156" s="300"/>
      <c r="R156" s="300"/>
      <c r="S156" s="300"/>
      <c r="T156" s="301"/>
      <c r="U156" s="300"/>
      <c r="V156" s="303"/>
      <c r="W156" s="300"/>
      <c r="X156" s="300"/>
      <c r="Y156" s="300"/>
      <c r="Z156" s="300"/>
      <c r="AA156" s="300"/>
      <c r="AB156" s="304" t="s">
        <v>403</v>
      </c>
      <c r="AC156" s="294"/>
    </row>
    <row r="157" spans="1:29" s="305" customFormat="1" ht="10.5" customHeight="1">
      <c r="B157" s="306" t="s">
        <v>404</v>
      </c>
      <c r="C157" s="307"/>
      <c r="D157" s="411" t="s">
        <v>405</v>
      </c>
      <c r="E157" s="411"/>
      <c r="F157" s="411"/>
      <c r="G157" s="411"/>
      <c r="H157" s="411"/>
      <c r="I157" s="411"/>
      <c r="J157" s="411"/>
      <c r="K157" s="411"/>
      <c r="L157" s="411"/>
      <c r="M157" s="411"/>
      <c r="N157" s="411"/>
      <c r="O157" s="412"/>
      <c r="P157" s="308"/>
      <c r="T157" s="309"/>
      <c r="V157" s="310"/>
      <c r="W157" s="311"/>
      <c r="X157" s="290"/>
      <c r="Z157" s="290"/>
      <c r="AA157" s="312"/>
      <c r="AC157" s="263"/>
    </row>
    <row r="158" spans="1:29" s="305" customFormat="1" ht="10.5" customHeight="1">
      <c r="B158" s="306" t="s">
        <v>406</v>
      </c>
      <c r="C158" s="307"/>
      <c r="D158" s="411"/>
      <c r="E158" s="411"/>
      <c r="F158" s="411"/>
      <c r="G158" s="411"/>
      <c r="H158" s="411"/>
      <c r="I158" s="411"/>
      <c r="J158" s="411"/>
      <c r="K158" s="411"/>
      <c r="L158" s="411"/>
      <c r="M158" s="411"/>
      <c r="N158" s="411"/>
      <c r="O158" s="412"/>
      <c r="P158" s="308"/>
      <c r="T158" s="309"/>
      <c r="V158" s="310"/>
      <c r="W158" s="311"/>
      <c r="X158" s="290"/>
      <c r="Z158" s="290"/>
      <c r="AA158" s="312"/>
      <c r="AC158" s="263"/>
    </row>
    <row r="159" spans="1:29" s="305" customFormat="1" ht="10.5" customHeight="1">
      <c r="B159" s="306" t="s">
        <v>407</v>
      </c>
      <c r="C159" s="307"/>
      <c r="D159" s="411"/>
      <c r="E159" s="411"/>
      <c r="F159" s="411"/>
      <c r="G159" s="411"/>
      <c r="H159" s="411"/>
      <c r="I159" s="411"/>
      <c r="J159" s="411"/>
      <c r="K159" s="411"/>
      <c r="L159" s="411"/>
      <c r="M159" s="411"/>
      <c r="N159" s="411"/>
      <c r="O159" s="412"/>
      <c r="P159" s="308"/>
      <c r="T159" s="309"/>
      <c r="V159" s="310"/>
      <c r="W159" s="311"/>
      <c r="X159" s="290"/>
      <c r="Z159" s="311"/>
      <c r="AA159" s="312"/>
      <c r="AC159" s="263"/>
    </row>
    <row r="160" spans="1:29" ht="10.5" customHeight="1">
      <c r="B160" s="306" t="s">
        <v>408</v>
      </c>
      <c r="C160" s="307"/>
      <c r="D160" s="411"/>
      <c r="E160" s="411"/>
      <c r="F160" s="411"/>
      <c r="G160" s="411"/>
      <c r="H160" s="411"/>
      <c r="I160" s="411"/>
      <c r="J160" s="411"/>
      <c r="K160" s="411"/>
      <c r="L160" s="411"/>
      <c r="M160" s="411"/>
      <c r="N160" s="411"/>
      <c r="O160" s="412"/>
      <c r="Y160" s="305"/>
      <c r="Z160" s="290"/>
      <c r="AA160" s="312"/>
    </row>
  </sheetData>
  <sheetProtection sort="0"/>
  <autoFilter ref="B7:AB154">
    <sortState ref="B8:AB154">
      <sortCondition descending="1" ref="AB7:AB154"/>
    </sortState>
  </autoFilter>
  <mergeCells count="8">
    <mergeCell ref="D157:O160"/>
    <mergeCell ref="V5:V6"/>
    <mergeCell ref="X5:X6"/>
    <mergeCell ref="AB5:AB6"/>
    <mergeCell ref="B6:E6"/>
    <mergeCell ref="G6:I6"/>
    <mergeCell ref="K6:O6"/>
    <mergeCell ref="Q6:T6"/>
  </mergeCells>
  <conditionalFormatting sqref="AA157:AA160">
    <cfRule type="cellIs" dxfId="30" priority="12" stopIfTrue="1" operator="equal">
      <formula>"y"</formula>
    </cfRule>
  </conditionalFormatting>
  <conditionalFormatting sqref="Q8:S154 G8:H154 K8:N154 X8:X154">
    <cfRule type="cellIs" dxfId="29" priority="11" stopIfTrue="1" operator="lessThan">
      <formula>2.51</formula>
    </cfRule>
  </conditionalFormatting>
  <conditionalFormatting sqref="Q8:S154 G8:H154 K8:N154 X8:X154">
    <cfRule type="cellIs" dxfId="28" priority="8" stopIfTrue="1" operator="greaterThan">
      <formula>7.5</formula>
    </cfRule>
    <cfRule type="cellIs" dxfId="27" priority="9" stopIfTrue="1" operator="between">
      <formula>5.01</formula>
      <formula>7.5</formula>
    </cfRule>
    <cfRule type="cellIs" dxfId="26" priority="10" stopIfTrue="1" operator="between">
      <formula>2.51</formula>
      <formula>5</formula>
    </cfRule>
  </conditionalFormatting>
  <conditionalFormatting sqref="V8:V154 I8:I154 O8:O154 T8:T154">
    <cfRule type="cellIs" dxfId="25" priority="7" operator="greaterThan">
      <formula>7.5</formula>
    </cfRule>
  </conditionalFormatting>
  <conditionalFormatting sqref="V8:V154 I8:I154 O8:O154 T8:T154">
    <cfRule type="cellIs" dxfId="24" priority="6" operator="lessThan">
      <formula>2.51</formula>
    </cfRule>
  </conditionalFormatting>
  <conditionalFormatting sqref="V8:V154 I8:I154 O8:O154 T8:T154">
    <cfRule type="cellIs" dxfId="23" priority="4" operator="between">
      <formula>5.00001</formula>
      <formula>7.5</formula>
    </cfRule>
    <cfRule type="cellIs" dxfId="22" priority="5" operator="between">
      <formula>2.51</formula>
      <formula>5</formula>
    </cfRule>
  </conditionalFormatting>
  <conditionalFormatting sqref="AB8:AB154">
    <cfRule type="cellIs" dxfId="21" priority="1" stopIfTrue="1" operator="between">
      <formula>7.5</formula>
      <formula>10</formula>
    </cfRule>
    <cfRule type="cellIs" dxfId="20" priority="2" stopIfTrue="1" operator="between">
      <formula>5</formula>
      <formula>7.5</formula>
    </cfRule>
    <cfRule type="cellIs" dxfId="19" priority="3" stopIfTrue="1" operator="between">
      <formula>2.5</formula>
      <formula>5</formula>
    </cfRule>
  </conditionalFormatting>
  <dataValidations count="1">
    <dataValidation type="list" allowBlank="1" showInputMessage="1" showErrorMessage="1" sqref="AD8:HE58 Z8:Z154 AA8:AA17 AA19:AA25 AA27:AA58 D70 F34 F26:F28 F30:F32 F52 F21 F49:F50 F8 F10:F15 F36:F37 F54:F58 F43:F44 D8:D28 D77 D146 D80 D59:D60 D91 D57 D128 D110 D85 D140 D63">
      <formula1>dropdown</formula1>
    </dataValidation>
  </dataValidations>
  <pageMargins left="0.34" right="0.27559055118110198" top="0.31" bottom="0.7" header="0.31496062992126" footer="0.35"/>
  <pageSetup paperSize="9" scale="50" fitToHeight="99" orientation="portrait" r:id="rId1"/>
  <headerFooter>
    <oddFooter>&amp;L&amp;8&amp;D&amp;C&amp;8OCHA 2012 Global Focus Model&amp;R&amp;8Page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D22"/>
  <sheetViews>
    <sheetView workbookViewId="0"/>
  </sheetViews>
  <sheetFormatPr defaultRowHeight="15"/>
  <cols>
    <col min="2" max="2" width="20.42578125" customWidth="1"/>
    <col min="3" max="3" width="26" customWidth="1"/>
    <col min="4" max="4" width="48.5703125" customWidth="1"/>
  </cols>
  <sheetData>
    <row r="1" spans="1:4">
      <c r="A1" s="41" t="s">
        <v>97</v>
      </c>
      <c r="B1" s="41" t="s">
        <v>98</v>
      </c>
      <c r="C1" s="41" t="s">
        <v>99</v>
      </c>
      <c r="D1" s="41" t="s">
        <v>100</v>
      </c>
    </row>
    <row r="2" spans="1:4">
      <c r="A2" s="351">
        <v>1</v>
      </c>
      <c r="B2" s="351" t="s">
        <v>409</v>
      </c>
      <c r="C2" s="351" t="s">
        <v>409</v>
      </c>
    </row>
    <row r="3" spans="1:4">
      <c r="A3" s="352">
        <v>2</v>
      </c>
      <c r="B3" s="352" t="s">
        <v>410</v>
      </c>
      <c r="C3" s="352"/>
      <c r="D3" t="s">
        <v>438</v>
      </c>
    </row>
    <row r="4" spans="1:4">
      <c r="A4" s="352">
        <v>3</v>
      </c>
      <c r="B4" s="352" t="s">
        <v>411</v>
      </c>
      <c r="C4" s="352"/>
      <c r="D4" t="s">
        <v>438</v>
      </c>
    </row>
    <row r="5" spans="1:4">
      <c r="A5" s="352">
        <v>4</v>
      </c>
      <c r="B5" s="352" t="s">
        <v>412</v>
      </c>
      <c r="C5" s="352" t="s">
        <v>437</v>
      </c>
      <c r="D5" t="s">
        <v>438</v>
      </c>
    </row>
    <row r="6" spans="1:4">
      <c r="A6" s="361">
        <v>5</v>
      </c>
      <c r="B6" s="353" t="s">
        <v>227</v>
      </c>
      <c r="C6" s="353" t="s">
        <v>428</v>
      </c>
    </row>
    <row r="7" spans="1:4">
      <c r="A7" s="361">
        <v>6</v>
      </c>
      <c r="B7" s="353" t="s">
        <v>228</v>
      </c>
      <c r="C7" s="353" t="s">
        <v>429</v>
      </c>
    </row>
    <row r="8" spans="1:4">
      <c r="A8" s="362">
        <v>7</v>
      </c>
      <c r="B8" s="354" t="s">
        <v>241</v>
      </c>
      <c r="C8" s="354" t="s">
        <v>430</v>
      </c>
    </row>
    <row r="9" spans="1:4">
      <c r="A9" s="363">
        <v>8</v>
      </c>
      <c r="B9" s="355" t="s">
        <v>229</v>
      </c>
      <c r="C9" s="355" t="s">
        <v>229</v>
      </c>
    </row>
    <row r="10" spans="1:4">
      <c r="A10" s="363">
        <v>9</v>
      </c>
      <c r="B10" s="355" t="s">
        <v>230</v>
      </c>
      <c r="C10" s="355" t="s">
        <v>230</v>
      </c>
    </row>
    <row r="11" spans="1:4">
      <c r="A11" s="363">
        <v>10</v>
      </c>
      <c r="B11" s="355" t="s">
        <v>231</v>
      </c>
      <c r="C11" s="355" t="s">
        <v>231</v>
      </c>
    </row>
    <row r="12" spans="1:4">
      <c r="A12" s="363">
        <v>11</v>
      </c>
      <c r="B12" s="355" t="s">
        <v>232</v>
      </c>
      <c r="C12" s="355" t="s">
        <v>232</v>
      </c>
    </row>
    <row r="13" spans="1:4">
      <c r="A13" s="364">
        <v>12</v>
      </c>
      <c r="B13" s="356" t="s">
        <v>242</v>
      </c>
      <c r="C13" s="356" t="s">
        <v>431</v>
      </c>
    </row>
    <row r="14" spans="1:4">
      <c r="A14" s="365">
        <v>13</v>
      </c>
      <c r="B14" s="357" t="s">
        <v>233</v>
      </c>
      <c r="C14" s="357" t="s">
        <v>432</v>
      </c>
    </row>
    <row r="15" spans="1:4">
      <c r="A15" s="365">
        <v>14</v>
      </c>
      <c r="B15" s="357" t="s">
        <v>234</v>
      </c>
      <c r="C15" s="357" t="s">
        <v>433</v>
      </c>
    </row>
    <row r="16" spans="1:4">
      <c r="A16" s="365">
        <v>15</v>
      </c>
      <c r="B16" s="357" t="s">
        <v>235</v>
      </c>
      <c r="C16" s="357" t="s">
        <v>434</v>
      </c>
    </row>
    <row r="17" spans="1:4">
      <c r="A17" s="366">
        <v>16</v>
      </c>
      <c r="B17" s="358" t="s">
        <v>243</v>
      </c>
      <c r="C17" s="358" t="s">
        <v>435</v>
      </c>
    </row>
    <row r="18" spans="1:4">
      <c r="A18" s="367">
        <v>17</v>
      </c>
      <c r="B18" s="359" t="s">
        <v>236</v>
      </c>
      <c r="C18" s="359" t="s">
        <v>436</v>
      </c>
    </row>
    <row r="19" spans="1:4">
      <c r="A19" s="368">
        <v>18</v>
      </c>
      <c r="B19" s="360" t="s">
        <v>237</v>
      </c>
      <c r="C19" s="360"/>
      <c r="D19" t="s">
        <v>438</v>
      </c>
    </row>
    <row r="20" spans="1:4">
      <c r="A20" s="368">
        <v>19</v>
      </c>
      <c r="B20" s="360" t="s">
        <v>238</v>
      </c>
      <c r="C20" s="360"/>
      <c r="D20" t="s">
        <v>438</v>
      </c>
    </row>
    <row r="21" spans="1:4">
      <c r="A21" s="368">
        <v>20</v>
      </c>
      <c r="B21" s="360" t="s">
        <v>416</v>
      </c>
      <c r="C21" s="360"/>
      <c r="D21" t="s">
        <v>439</v>
      </c>
    </row>
    <row r="22" spans="1:4">
      <c r="A22" s="368">
        <v>21</v>
      </c>
      <c r="B22" s="360" t="s">
        <v>239</v>
      </c>
      <c r="C22" s="360"/>
      <c r="D22" t="s">
        <v>438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/>
  <dimension ref="A1:U148"/>
  <sheetViews>
    <sheetView workbookViewId="0"/>
  </sheetViews>
  <sheetFormatPr defaultRowHeight="12.75"/>
  <cols>
    <col min="1" max="1" width="23.85546875" style="332" customWidth="1"/>
    <col min="2" max="3" width="9.140625" style="334"/>
    <col min="4" max="4" width="17.5703125" style="334" customWidth="1"/>
    <col min="5" max="6" width="9.140625" style="343"/>
    <col min="7" max="7" width="9.140625" style="344"/>
    <col min="8" max="11" width="9.140625" style="345"/>
    <col min="12" max="12" width="9.140625" style="346"/>
    <col min="13" max="15" width="9.140625" style="347"/>
    <col min="16" max="16" width="9.140625" style="348"/>
    <col min="17" max="17" width="9.140625" style="349"/>
    <col min="18" max="21" width="9.140625" style="350"/>
    <col min="22" max="16384" width="9.140625" style="313"/>
  </cols>
  <sheetData>
    <row r="1" spans="1:21" s="316" customFormat="1">
      <c r="A1" s="331" t="s">
        <v>409</v>
      </c>
      <c r="B1" s="333" t="s">
        <v>410</v>
      </c>
      <c r="C1" s="333" t="s">
        <v>411</v>
      </c>
      <c r="D1" s="333" t="s">
        <v>412</v>
      </c>
      <c r="E1" s="335" t="s">
        <v>227</v>
      </c>
      <c r="F1" s="335" t="s">
        <v>228</v>
      </c>
      <c r="G1" s="336" t="s">
        <v>241</v>
      </c>
      <c r="H1" s="337" t="s">
        <v>229</v>
      </c>
      <c r="I1" s="337" t="s">
        <v>230</v>
      </c>
      <c r="J1" s="337" t="s">
        <v>231</v>
      </c>
      <c r="K1" s="337" t="s">
        <v>232</v>
      </c>
      <c r="L1" s="338" t="s">
        <v>242</v>
      </c>
      <c r="M1" s="339" t="s">
        <v>233</v>
      </c>
      <c r="N1" s="339" t="s">
        <v>234</v>
      </c>
      <c r="O1" s="339" t="s">
        <v>235</v>
      </c>
      <c r="P1" s="340" t="s">
        <v>243</v>
      </c>
      <c r="Q1" s="341" t="s">
        <v>236</v>
      </c>
      <c r="R1" s="342" t="s">
        <v>237</v>
      </c>
      <c r="S1" s="342" t="s">
        <v>238</v>
      </c>
      <c r="T1" s="342" t="s">
        <v>416</v>
      </c>
      <c r="U1" s="342" t="s">
        <v>239</v>
      </c>
    </row>
    <row r="2" spans="1:21">
      <c r="A2" s="332" t="s">
        <v>422</v>
      </c>
      <c r="B2" s="334" t="s">
        <v>245</v>
      </c>
      <c r="C2" s="334" t="s">
        <v>246</v>
      </c>
      <c r="D2" s="334" t="s">
        <v>247</v>
      </c>
      <c r="E2" s="343">
        <v>4.38</v>
      </c>
      <c r="F2" s="343">
        <v>8.92</v>
      </c>
      <c r="G2" s="344">
        <v>6.65</v>
      </c>
      <c r="H2" s="345">
        <v>9.91</v>
      </c>
      <c r="I2" s="345">
        <v>9.3000000000000007</v>
      </c>
      <c r="J2" s="345">
        <v>8</v>
      </c>
      <c r="K2" s="345">
        <v>7.79</v>
      </c>
      <c r="L2" s="346">
        <v>9.1129999999999995</v>
      </c>
      <c r="M2" s="347">
        <v>7.23</v>
      </c>
      <c r="N2" s="347">
        <v>7.7200000000000006</v>
      </c>
      <c r="O2" s="347">
        <v>7.45</v>
      </c>
      <c r="P2" s="348">
        <v>7.4666666666666677</v>
      </c>
      <c r="Q2" s="349">
        <v>7.7432222222222222</v>
      </c>
      <c r="R2" s="350">
        <v>9.9333333333333336</v>
      </c>
      <c r="S2" s="350">
        <v>7.6</v>
      </c>
      <c r="T2" s="350">
        <v>9.3000000000000007</v>
      </c>
      <c r="U2" s="350">
        <v>7.9622333333333328</v>
      </c>
    </row>
    <row r="3" spans="1:21">
      <c r="A3" s="332" t="s">
        <v>248</v>
      </c>
      <c r="B3" s="334" t="s">
        <v>245</v>
      </c>
      <c r="C3" s="334" t="s">
        <v>246</v>
      </c>
      <c r="D3" s="334" t="s">
        <v>249</v>
      </c>
      <c r="E3" s="343">
        <v>3.6399999999999997</v>
      </c>
      <c r="F3" s="343">
        <v>9.8800000000000008</v>
      </c>
      <c r="G3" s="344">
        <v>6.76</v>
      </c>
      <c r="H3" s="345">
        <v>9.11</v>
      </c>
      <c r="I3" s="345">
        <v>8.09</v>
      </c>
      <c r="J3" s="345">
        <v>8.43</v>
      </c>
      <c r="K3" s="345">
        <v>7.84</v>
      </c>
      <c r="L3" s="346">
        <v>8.519499999999999</v>
      </c>
      <c r="M3" s="347">
        <v>7.7200000000000006</v>
      </c>
      <c r="N3" s="347">
        <v>8.08</v>
      </c>
      <c r="O3" s="347">
        <v>7.23</v>
      </c>
      <c r="P3" s="348">
        <v>7.6766666666666667</v>
      </c>
      <c r="Q3" s="349">
        <v>7.6520555555555552</v>
      </c>
      <c r="R3" s="350">
        <v>9.9333333333333336</v>
      </c>
      <c r="S3" s="350">
        <v>7.6</v>
      </c>
      <c r="T3" s="350">
        <v>9.3000000000000007</v>
      </c>
      <c r="U3" s="350">
        <v>7.8801833333333331</v>
      </c>
    </row>
    <row r="4" spans="1:21">
      <c r="A4" s="332" t="s">
        <v>250</v>
      </c>
      <c r="B4" s="334" t="s">
        <v>245</v>
      </c>
      <c r="C4" s="334" t="s">
        <v>246</v>
      </c>
      <c r="D4" s="334" t="s">
        <v>251</v>
      </c>
      <c r="E4" s="343">
        <v>5.91</v>
      </c>
      <c r="F4" s="343">
        <v>9.3699999999999992</v>
      </c>
      <c r="G4" s="344">
        <v>7.64</v>
      </c>
      <c r="H4" s="345">
        <v>9.8699999999999992</v>
      </c>
      <c r="I4" s="345">
        <v>9.1199999999999992</v>
      </c>
      <c r="J4" s="345">
        <v>3.4000000000000004</v>
      </c>
      <c r="K4" s="345">
        <v>7.8599999999999994</v>
      </c>
      <c r="L4" s="346">
        <v>7.8894999999999991</v>
      </c>
      <c r="M4" s="347">
        <v>7.54</v>
      </c>
      <c r="N4" s="347">
        <v>6.7799999999999994</v>
      </c>
      <c r="O4" s="347">
        <v>7.3900000000000006</v>
      </c>
      <c r="P4" s="348">
        <v>7.2366666666666672</v>
      </c>
      <c r="Q4" s="349">
        <v>7.5887222222222226</v>
      </c>
      <c r="R4" s="350">
        <v>9.9333333333333336</v>
      </c>
      <c r="S4" s="350">
        <v>9.6999999999999993</v>
      </c>
      <c r="T4" s="350">
        <v>9.8000000000000007</v>
      </c>
      <c r="U4" s="350">
        <v>7.8231833333333327</v>
      </c>
    </row>
    <row r="5" spans="1:21">
      <c r="A5" s="332" t="s">
        <v>252</v>
      </c>
      <c r="B5" s="334" t="s">
        <v>245</v>
      </c>
      <c r="C5" s="334" t="s">
        <v>246</v>
      </c>
      <c r="D5" s="334" t="s">
        <v>249</v>
      </c>
      <c r="E5" s="343">
        <v>3.58</v>
      </c>
      <c r="F5" s="343">
        <v>8.51</v>
      </c>
      <c r="G5" s="344">
        <v>6.0449999999999999</v>
      </c>
      <c r="H5" s="345">
        <v>9.73</v>
      </c>
      <c r="I5" s="345">
        <v>9.27</v>
      </c>
      <c r="J5" s="345">
        <v>6.55</v>
      </c>
      <c r="K5" s="345">
        <v>8.2799999999999994</v>
      </c>
      <c r="L5" s="346">
        <v>8.7014999999999993</v>
      </c>
      <c r="M5" s="347">
        <v>8.15</v>
      </c>
      <c r="N5" s="347">
        <v>8.2799999999999994</v>
      </c>
      <c r="O5" s="347">
        <v>7.65</v>
      </c>
      <c r="P5" s="348">
        <v>8.0266666666666655</v>
      </c>
      <c r="Q5" s="349">
        <v>7.5910555555555552</v>
      </c>
      <c r="R5" s="350">
        <v>9.6</v>
      </c>
      <c r="S5" s="350">
        <v>7.6</v>
      </c>
      <c r="T5" s="350">
        <v>9.1999999999999993</v>
      </c>
      <c r="U5" s="350">
        <v>7.791949999999999</v>
      </c>
    </row>
    <row r="6" spans="1:21">
      <c r="A6" s="332" t="s">
        <v>253</v>
      </c>
      <c r="B6" s="334" t="s">
        <v>245</v>
      </c>
      <c r="C6" s="334" t="s">
        <v>246</v>
      </c>
      <c r="D6" s="334" t="s">
        <v>254</v>
      </c>
      <c r="E6" s="343">
        <v>2.2999999999999998</v>
      </c>
      <c r="F6" s="343">
        <v>9.69</v>
      </c>
      <c r="G6" s="344">
        <v>5.9949999999999992</v>
      </c>
      <c r="H6" s="345">
        <v>9.6</v>
      </c>
      <c r="I6" s="345">
        <v>8.58</v>
      </c>
      <c r="J6" s="345">
        <v>6.0299999999999994</v>
      </c>
      <c r="K6" s="345">
        <v>8.9600000000000009</v>
      </c>
      <c r="L6" s="346">
        <v>8.3185000000000002</v>
      </c>
      <c r="M6" s="347">
        <v>7.74</v>
      </c>
      <c r="N6" s="347">
        <v>7.7799999999999994</v>
      </c>
      <c r="O6" s="347">
        <v>8.51</v>
      </c>
      <c r="P6" s="348">
        <v>8.01</v>
      </c>
      <c r="Q6" s="349">
        <v>7.4411666666666667</v>
      </c>
      <c r="R6" s="350">
        <v>9.6</v>
      </c>
      <c r="S6" s="350">
        <v>9.6999999999999993</v>
      </c>
      <c r="T6" s="350">
        <v>9.6</v>
      </c>
      <c r="U6" s="350">
        <v>7.6570500000000008</v>
      </c>
    </row>
    <row r="7" spans="1:21">
      <c r="A7" s="332" t="s">
        <v>255</v>
      </c>
      <c r="B7" s="334" t="s">
        <v>245</v>
      </c>
      <c r="C7" s="334" t="s">
        <v>246</v>
      </c>
      <c r="D7" s="334" t="s">
        <v>256</v>
      </c>
      <c r="E7" s="343">
        <v>8.9499999999999993</v>
      </c>
      <c r="F7" s="343">
        <v>7.46</v>
      </c>
      <c r="G7" s="344">
        <v>8.2050000000000001</v>
      </c>
      <c r="H7" s="345">
        <v>8.43</v>
      </c>
      <c r="I7" s="345">
        <v>8.58</v>
      </c>
      <c r="J7" s="345">
        <v>2.6500000000000004</v>
      </c>
      <c r="K7" s="345">
        <v>5.01</v>
      </c>
      <c r="L7" s="346">
        <v>6.8664999999999994</v>
      </c>
      <c r="M7" s="347">
        <v>8.120000000000001</v>
      </c>
      <c r="N7" s="347">
        <v>6.59</v>
      </c>
      <c r="O7" s="347">
        <v>5.78</v>
      </c>
      <c r="P7" s="348">
        <v>6.830000000000001</v>
      </c>
      <c r="Q7" s="349">
        <v>7.3005000000000004</v>
      </c>
      <c r="R7" s="350">
        <v>8.8333333333333339</v>
      </c>
      <c r="S7" s="350">
        <v>8.6999999999999993</v>
      </c>
      <c r="T7" s="350">
        <v>9.4</v>
      </c>
      <c r="U7" s="350">
        <v>7.4537833333333339</v>
      </c>
    </row>
    <row r="8" spans="1:21">
      <c r="A8" s="332" t="s">
        <v>257</v>
      </c>
      <c r="B8" s="334" t="s">
        <v>245</v>
      </c>
      <c r="C8" s="334" t="s">
        <v>246</v>
      </c>
      <c r="D8" s="334" t="s">
        <v>254</v>
      </c>
      <c r="E8" s="343">
        <v>4.42</v>
      </c>
      <c r="F8" s="343">
        <v>8.32</v>
      </c>
      <c r="G8" s="344">
        <v>6.37</v>
      </c>
      <c r="H8" s="345">
        <v>9.17</v>
      </c>
      <c r="I8" s="345">
        <v>8.77</v>
      </c>
      <c r="J8" s="345">
        <v>6.2200000000000006</v>
      </c>
      <c r="K8" s="345">
        <v>8.4600000000000009</v>
      </c>
      <c r="L8" s="346">
        <v>8.2569999999999997</v>
      </c>
      <c r="M8" s="347">
        <v>5.81</v>
      </c>
      <c r="N8" s="347">
        <v>7.21</v>
      </c>
      <c r="O8" s="347">
        <v>8.4700000000000006</v>
      </c>
      <c r="P8" s="348">
        <v>7.163333333333334</v>
      </c>
      <c r="Q8" s="349">
        <v>7.2634444444444446</v>
      </c>
      <c r="R8" s="350">
        <v>8.8333333333333339</v>
      </c>
      <c r="S8" s="350">
        <v>8.6999999999999993</v>
      </c>
      <c r="T8" s="350">
        <v>9.4</v>
      </c>
      <c r="U8" s="350">
        <v>7.4204333333333334</v>
      </c>
    </row>
    <row r="9" spans="1:21">
      <c r="A9" s="332" t="s">
        <v>258</v>
      </c>
      <c r="C9" s="334" t="s">
        <v>246</v>
      </c>
      <c r="D9" s="334" t="s">
        <v>251</v>
      </c>
      <c r="E9" s="343">
        <v>7.27</v>
      </c>
      <c r="F9" s="343">
        <v>9.42</v>
      </c>
      <c r="G9" s="344">
        <v>8.3449999999999989</v>
      </c>
      <c r="H9" s="345">
        <v>8.14</v>
      </c>
      <c r="I9" s="345">
        <v>7.92</v>
      </c>
      <c r="J9" s="345">
        <v>6.85</v>
      </c>
      <c r="K9" s="345">
        <v>5.8</v>
      </c>
      <c r="L9" s="346">
        <v>7.6235000000000008</v>
      </c>
      <c r="M9" s="347">
        <v>5.77</v>
      </c>
      <c r="N9" s="347">
        <v>6.52</v>
      </c>
      <c r="O9" s="347">
        <v>5.92</v>
      </c>
      <c r="P9" s="348">
        <v>6.07</v>
      </c>
      <c r="Q9" s="349">
        <v>7.3461666666666661</v>
      </c>
      <c r="R9" s="350">
        <v>7.7333333333333343</v>
      </c>
      <c r="S9" s="350">
        <v>9.6999999999999993</v>
      </c>
      <c r="T9" s="350">
        <v>9.6</v>
      </c>
      <c r="U9" s="350">
        <v>7.3848833333333328</v>
      </c>
    </row>
    <row r="10" spans="1:21">
      <c r="A10" s="332" t="s">
        <v>259</v>
      </c>
      <c r="B10" s="334" t="s">
        <v>245</v>
      </c>
      <c r="C10" s="334" t="s">
        <v>246</v>
      </c>
      <c r="D10" s="334" t="s">
        <v>249</v>
      </c>
      <c r="E10" s="343">
        <v>2.54</v>
      </c>
      <c r="F10" s="343">
        <v>7.92</v>
      </c>
      <c r="G10" s="344">
        <v>5.23</v>
      </c>
      <c r="H10" s="345">
        <v>9.18</v>
      </c>
      <c r="I10" s="345">
        <v>9.1</v>
      </c>
      <c r="J10" s="345">
        <v>5.72</v>
      </c>
      <c r="K10" s="345">
        <v>7.13</v>
      </c>
      <c r="L10" s="346">
        <v>8.1844999999999999</v>
      </c>
      <c r="M10" s="347">
        <v>7.77</v>
      </c>
      <c r="N10" s="347">
        <v>7.4</v>
      </c>
      <c r="O10" s="347">
        <v>7.77</v>
      </c>
      <c r="P10" s="348">
        <v>7.6466666666666656</v>
      </c>
      <c r="Q10" s="349">
        <v>7.0203888888888883</v>
      </c>
      <c r="R10" s="350">
        <v>8.9333333333333336</v>
      </c>
      <c r="S10" s="350">
        <v>6.2</v>
      </c>
      <c r="T10" s="350">
        <v>8.1</v>
      </c>
      <c r="U10" s="350">
        <v>7.2116833333333332</v>
      </c>
    </row>
    <row r="11" spans="1:21">
      <c r="A11" s="332" t="s">
        <v>260</v>
      </c>
      <c r="B11" s="334" t="s">
        <v>245</v>
      </c>
      <c r="C11" s="334" t="s">
        <v>246</v>
      </c>
      <c r="D11" s="334" t="s">
        <v>251</v>
      </c>
      <c r="E11" s="343">
        <v>1.8200000000000003</v>
      </c>
      <c r="F11" s="343">
        <v>8.6</v>
      </c>
      <c r="G11" s="344">
        <v>5.21</v>
      </c>
      <c r="H11" s="345">
        <v>7.65</v>
      </c>
      <c r="I11" s="345">
        <v>8.33</v>
      </c>
      <c r="J11" s="345">
        <v>6.41</v>
      </c>
      <c r="K11" s="345">
        <v>8.57</v>
      </c>
      <c r="L11" s="346">
        <v>7.6239999999999997</v>
      </c>
      <c r="M11" s="347">
        <v>7.6099999999999994</v>
      </c>
      <c r="N11" s="347">
        <v>7.6099999999999994</v>
      </c>
      <c r="O11" s="347">
        <v>8.2100000000000009</v>
      </c>
      <c r="P11" s="348">
        <v>7.81</v>
      </c>
      <c r="Q11" s="349">
        <v>6.8813333333333331</v>
      </c>
      <c r="R11" s="350">
        <v>9.9333333333333336</v>
      </c>
      <c r="S11" s="350">
        <v>9.3000000000000007</v>
      </c>
      <c r="T11" s="350">
        <v>9.6999999999999993</v>
      </c>
      <c r="U11" s="350">
        <v>7.1865333333333332</v>
      </c>
    </row>
    <row r="12" spans="1:21">
      <c r="A12" s="332" t="s">
        <v>261</v>
      </c>
      <c r="B12" s="334" t="s">
        <v>245</v>
      </c>
      <c r="C12" s="334" t="s">
        <v>246</v>
      </c>
      <c r="D12" s="334" t="s">
        <v>249</v>
      </c>
      <c r="E12" s="343">
        <v>3.2</v>
      </c>
      <c r="F12" s="343">
        <v>8.6</v>
      </c>
      <c r="G12" s="344">
        <v>5.9</v>
      </c>
      <c r="H12" s="345">
        <v>9</v>
      </c>
      <c r="I12" s="345">
        <v>7.25</v>
      </c>
      <c r="J12" s="345">
        <v>7.2200000000000006</v>
      </c>
      <c r="K12" s="345">
        <v>6.51</v>
      </c>
      <c r="L12" s="346">
        <v>7.8179999999999996</v>
      </c>
      <c r="M12" s="347">
        <v>6.63</v>
      </c>
      <c r="N12" s="347">
        <v>6.79</v>
      </c>
      <c r="O12" s="347">
        <v>5.53</v>
      </c>
      <c r="P12" s="348">
        <v>6.3166666666666664</v>
      </c>
      <c r="Q12" s="349">
        <v>6.6782222222222218</v>
      </c>
      <c r="R12" s="350">
        <v>9.9333333333333336</v>
      </c>
      <c r="S12" s="350">
        <v>8.6999999999999993</v>
      </c>
      <c r="T12" s="350">
        <v>9.6</v>
      </c>
      <c r="U12" s="350">
        <v>7.003733333333332</v>
      </c>
    </row>
    <row r="13" spans="1:21">
      <c r="A13" s="332" t="s">
        <v>262</v>
      </c>
      <c r="B13" s="334" t="s">
        <v>245</v>
      </c>
      <c r="C13" s="334" t="s">
        <v>263</v>
      </c>
      <c r="D13" s="334" t="s">
        <v>254</v>
      </c>
      <c r="E13" s="343">
        <v>4.01</v>
      </c>
      <c r="F13" s="343">
        <v>6.08</v>
      </c>
      <c r="G13" s="344">
        <v>5.0449999999999999</v>
      </c>
      <c r="H13" s="345">
        <v>8.42</v>
      </c>
      <c r="I13" s="345">
        <v>8.44</v>
      </c>
      <c r="J13" s="345">
        <v>6.2</v>
      </c>
      <c r="K13" s="345">
        <v>7.88</v>
      </c>
      <c r="L13" s="346">
        <v>7.8449999999999998</v>
      </c>
      <c r="M13" s="347">
        <v>7.55</v>
      </c>
      <c r="N13" s="347">
        <v>6.84</v>
      </c>
      <c r="O13" s="347">
        <v>6.65</v>
      </c>
      <c r="P13" s="348">
        <v>7.0133333333333328</v>
      </c>
      <c r="Q13" s="349">
        <v>6.6344444444444441</v>
      </c>
      <c r="R13" s="350">
        <v>9.9333333333333336</v>
      </c>
      <c r="S13" s="350">
        <v>1</v>
      </c>
      <c r="T13" s="350">
        <v>8</v>
      </c>
      <c r="U13" s="350">
        <v>6.9643333333333333</v>
      </c>
    </row>
    <row r="14" spans="1:21">
      <c r="A14" s="332" t="s">
        <v>264</v>
      </c>
      <c r="B14" s="334" t="s">
        <v>245</v>
      </c>
      <c r="C14" s="334" t="s">
        <v>265</v>
      </c>
      <c r="D14" s="334" t="s">
        <v>256</v>
      </c>
      <c r="E14" s="343">
        <v>6.93</v>
      </c>
      <c r="F14" s="343">
        <v>5.69</v>
      </c>
      <c r="G14" s="344">
        <v>6.3100000000000005</v>
      </c>
      <c r="H14" s="345">
        <v>7.23</v>
      </c>
      <c r="I14" s="345">
        <v>7.2200000000000006</v>
      </c>
      <c r="J14" s="345">
        <v>5.23</v>
      </c>
      <c r="K14" s="345">
        <v>6</v>
      </c>
      <c r="L14" s="346">
        <v>6.665</v>
      </c>
      <c r="M14" s="347">
        <v>6.2799999999999994</v>
      </c>
      <c r="N14" s="347">
        <v>6.4399999999999995</v>
      </c>
      <c r="O14" s="347">
        <v>6.68</v>
      </c>
      <c r="P14" s="348">
        <v>6.4666666666666659</v>
      </c>
      <c r="Q14" s="349">
        <v>6.4805555555555552</v>
      </c>
      <c r="R14" s="350">
        <v>9.9333333333333336</v>
      </c>
      <c r="S14" s="350">
        <v>9.6999999999999993</v>
      </c>
      <c r="T14" s="350">
        <v>9.8000000000000007</v>
      </c>
      <c r="U14" s="350">
        <v>6.8258333333333328</v>
      </c>
    </row>
    <row r="15" spans="1:21">
      <c r="A15" s="332" t="s">
        <v>266</v>
      </c>
      <c r="B15" s="334" t="s">
        <v>245</v>
      </c>
      <c r="C15" s="334" t="s">
        <v>246</v>
      </c>
      <c r="D15" s="334" t="s">
        <v>247</v>
      </c>
      <c r="E15" s="343">
        <v>2.13</v>
      </c>
      <c r="F15" s="343">
        <v>8.07</v>
      </c>
      <c r="G15" s="344">
        <v>5.0999999999999996</v>
      </c>
      <c r="H15" s="345">
        <v>8.25</v>
      </c>
      <c r="I15" s="345">
        <v>8.26</v>
      </c>
      <c r="J15" s="345">
        <v>6.2799999999999994</v>
      </c>
      <c r="K15" s="345">
        <v>6.4700000000000006</v>
      </c>
      <c r="L15" s="346">
        <v>7.6719999999999997</v>
      </c>
      <c r="M15" s="347">
        <v>7.1099999999999994</v>
      </c>
      <c r="N15" s="347">
        <v>6.88</v>
      </c>
      <c r="O15" s="347">
        <v>5.54</v>
      </c>
      <c r="P15" s="348">
        <v>6.5099999999999989</v>
      </c>
      <c r="Q15" s="349">
        <v>6.4273333333333325</v>
      </c>
      <c r="R15" s="350">
        <v>9.9333333333333336</v>
      </c>
      <c r="S15" s="350">
        <v>6.2</v>
      </c>
      <c r="T15" s="350">
        <v>9.1</v>
      </c>
      <c r="U15" s="350">
        <v>6.7779333333333325</v>
      </c>
    </row>
    <row r="16" spans="1:21">
      <c r="A16" s="332" t="s">
        <v>267</v>
      </c>
      <c r="B16" s="334" t="s">
        <v>245</v>
      </c>
      <c r="C16" s="334" t="s">
        <v>246</v>
      </c>
      <c r="D16" s="334" t="s">
        <v>268</v>
      </c>
      <c r="E16" s="343">
        <v>6.8900000000000006</v>
      </c>
      <c r="F16" s="343">
        <v>6.01</v>
      </c>
      <c r="G16" s="344">
        <v>6.45</v>
      </c>
      <c r="H16" s="345">
        <v>8.35</v>
      </c>
      <c r="I16" s="345">
        <v>8.31</v>
      </c>
      <c r="J16" s="345">
        <v>1.6999999999999993</v>
      </c>
      <c r="K16" s="345">
        <v>7.96</v>
      </c>
      <c r="L16" s="346">
        <v>6.653999999999999</v>
      </c>
      <c r="M16" s="347">
        <v>6.4</v>
      </c>
      <c r="N16" s="347">
        <v>7.27</v>
      </c>
      <c r="O16" s="347">
        <v>5.2</v>
      </c>
      <c r="P16" s="348">
        <v>6.29</v>
      </c>
      <c r="Q16" s="349">
        <v>6.4646666666666661</v>
      </c>
      <c r="R16" s="350">
        <v>9.2666666666666657</v>
      </c>
      <c r="S16" s="350">
        <v>9.6999999999999993</v>
      </c>
      <c r="T16" s="350">
        <v>9.3000000000000007</v>
      </c>
      <c r="U16" s="350">
        <v>6.7448666666666659</v>
      </c>
    </row>
    <row r="17" spans="1:21">
      <c r="A17" s="332" t="s">
        <v>269</v>
      </c>
      <c r="B17" s="334" t="s">
        <v>245</v>
      </c>
      <c r="C17" s="334" t="s">
        <v>265</v>
      </c>
      <c r="D17" s="334" t="s">
        <v>251</v>
      </c>
      <c r="E17" s="343">
        <v>3.71</v>
      </c>
      <c r="F17" s="343">
        <v>7.58</v>
      </c>
      <c r="G17" s="344">
        <v>5.6449999999999996</v>
      </c>
      <c r="H17" s="345">
        <v>5.05</v>
      </c>
      <c r="I17" s="345">
        <v>6.26</v>
      </c>
      <c r="J17" s="345">
        <v>8.14</v>
      </c>
      <c r="K17" s="345">
        <v>5.73</v>
      </c>
      <c r="L17" s="346">
        <v>6.28</v>
      </c>
      <c r="M17" s="347">
        <v>8.32</v>
      </c>
      <c r="N17" s="347">
        <v>7.2200000000000006</v>
      </c>
      <c r="O17" s="347">
        <v>4.88</v>
      </c>
      <c r="P17" s="348">
        <v>6.8066666666666675</v>
      </c>
      <c r="Q17" s="349">
        <v>6.2438888888888897</v>
      </c>
      <c r="R17" s="350">
        <v>9.9333333333333336</v>
      </c>
      <c r="S17" s="350">
        <v>9.6999999999999993</v>
      </c>
      <c r="T17" s="350">
        <v>9.8000000000000007</v>
      </c>
      <c r="U17" s="350">
        <v>6.6128333333333336</v>
      </c>
    </row>
    <row r="18" spans="1:21">
      <c r="A18" s="332" t="s">
        <v>270</v>
      </c>
      <c r="B18" s="334" t="s">
        <v>245</v>
      </c>
      <c r="C18" s="334" t="s">
        <v>265</v>
      </c>
      <c r="D18" s="334" t="s">
        <v>254</v>
      </c>
      <c r="E18" s="343">
        <v>2.6500000000000004</v>
      </c>
      <c r="F18" s="343">
        <v>6.87</v>
      </c>
      <c r="G18" s="344">
        <v>4.76</v>
      </c>
      <c r="H18" s="345">
        <v>9.56</v>
      </c>
      <c r="I18" s="345">
        <v>7.6099999999999994</v>
      </c>
      <c r="J18" s="345">
        <v>6.08</v>
      </c>
      <c r="K18" s="345">
        <v>6.7200000000000006</v>
      </c>
      <c r="L18" s="346">
        <v>7.865499999999999</v>
      </c>
      <c r="M18" s="347">
        <v>4.93</v>
      </c>
      <c r="N18" s="347">
        <v>6.93</v>
      </c>
      <c r="O18" s="347">
        <v>6.71</v>
      </c>
      <c r="P18" s="348">
        <v>6.19</v>
      </c>
      <c r="Q18" s="349">
        <v>6.2718333333333334</v>
      </c>
      <c r="R18" s="350">
        <v>9.6</v>
      </c>
      <c r="S18" s="350">
        <v>3.1</v>
      </c>
      <c r="T18" s="350">
        <v>8.3000000000000007</v>
      </c>
      <c r="U18" s="350">
        <v>6.6046499999999995</v>
      </c>
    </row>
    <row r="19" spans="1:21">
      <c r="A19" s="332" t="s">
        <v>271</v>
      </c>
      <c r="B19" s="334" t="s">
        <v>245</v>
      </c>
      <c r="C19" s="334" t="s">
        <v>265</v>
      </c>
      <c r="D19" s="334" t="s">
        <v>249</v>
      </c>
      <c r="E19" s="343">
        <v>2.95</v>
      </c>
      <c r="F19" s="343">
        <v>6.33</v>
      </c>
      <c r="G19" s="344">
        <v>4.6400000000000006</v>
      </c>
      <c r="H19" s="345">
        <v>9.48</v>
      </c>
      <c r="I19" s="345">
        <v>7.66</v>
      </c>
      <c r="J19" s="345">
        <v>4.55</v>
      </c>
      <c r="K19" s="345">
        <v>7.17</v>
      </c>
      <c r="L19" s="346">
        <v>7.495000000000001</v>
      </c>
      <c r="M19" s="347">
        <v>6.37</v>
      </c>
      <c r="N19" s="347">
        <v>7.4</v>
      </c>
      <c r="O19" s="347">
        <v>6.08</v>
      </c>
      <c r="P19" s="348">
        <v>6.6166666666666671</v>
      </c>
      <c r="Q19" s="349">
        <v>6.2505555555555565</v>
      </c>
      <c r="R19" s="350">
        <v>9.6</v>
      </c>
      <c r="S19" s="350">
        <v>6.2</v>
      </c>
      <c r="T19" s="350">
        <v>8.9</v>
      </c>
      <c r="U19" s="350">
        <v>6.5855000000000006</v>
      </c>
    </row>
    <row r="20" spans="1:21">
      <c r="A20" s="332" t="s">
        <v>272</v>
      </c>
      <c r="D20" s="334" t="s">
        <v>254</v>
      </c>
      <c r="E20" s="343">
        <v>2.9400000000000004</v>
      </c>
      <c r="F20" s="343">
        <v>6.65</v>
      </c>
      <c r="G20" s="344">
        <v>4.7949999999999999</v>
      </c>
      <c r="H20" s="345">
        <v>9.7100000000000009</v>
      </c>
      <c r="I20" s="345">
        <v>8.5500000000000007</v>
      </c>
      <c r="J20" s="345">
        <v>5.5</v>
      </c>
      <c r="K20" s="345">
        <v>6.58</v>
      </c>
      <c r="L20" s="346">
        <v>8.0950000000000006</v>
      </c>
      <c r="M20" s="347">
        <v>7.1</v>
      </c>
      <c r="N20" s="347">
        <v>7.95</v>
      </c>
      <c r="O20" s="347">
        <v>5.58</v>
      </c>
      <c r="P20" s="348">
        <v>6.8766666666666678</v>
      </c>
      <c r="Q20" s="349">
        <v>6.5888888888888895</v>
      </c>
      <c r="R20" s="350">
        <v>5.6333333333333337</v>
      </c>
      <c r="S20" s="350">
        <v>4.5999999999999996</v>
      </c>
      <c r="T20" s="350">
        <v>6.4</v>
      </c>
      <c r="U20" s="350">
        <v>6.4933333333333332</v>
      </c>
    </row>
    <row r="21" spans="1:21">
      <c r="A21" s="332" t="s">
        <v>273</v>
      </c>
      <c r="B21" s="334" t="s">
        <v>245</v>
      </c>
      <c r="C21" s="334" t="s">
        <v>246</v>
      </c>
      <c r="D21" s="334" t="s">
        <v>249</v>
      </c>
      <c r="E21" s="343">
        <v>3.12</v>
      </c>
      <c r="F21" s="343">
        <v>5.34</v>
      </c>
      <c r="G21" s="344">
        <v>4.2300000000000004</v>
      </c>
      <c r="H21" s="345">
        <v>9.39</v>
      </c>
      <c r="I21" s="345">
        <v>8.41</v>
      </c>
      <c r="J21" s="345">
        <v>2.0700000000000003</v>
      </c>
      <c r="K21" s="345">
        <v>9.18</v>
      </c>
      <c r="L21" s="346">
        <v>7.2065000000000001</v>
      </c>
      <c r="M21" s="347">
        <v>5.68</v>
      </c>
      <c r="N21" s="347">
        <v>8.02</v>
      </c>
      <c r="O21" s="347">
        <v>7.15</v>
      </c>
      <c r="P21" s="348">
        <v>6.95</v>
      </c>
      <c r="Q21" s="349">
        <v>6.1288333333333336</v>
      </c>
      <c r="R21" s="350">
        <v>9.2666666666666657</v>
      </c>
      <c r="S21" s="350">
        <v>6.2</v>
      </c>
      <c r="T21" s="350">
        <v>8.6</v>
      </c>
      <c r="U21" s="350">
        <v>6.4426166666666669</v>
      </c>
    </row>
    <row r="22" spans="1:21">
      <c r="A22" s="332" t="s">
        <v>274</v>
      </c>
      <c r="B22" s="334" t="s">
        <v>245</v>
      </c>
      <c r="C22" s="334" t="s">
        <v>246</v>
      </c>
      <c r="D22" s="334" t="s">
        <v>256</v>
      </c>
      <c r="E22" s="343">
        <v>9.7899999999999991</v>
      </c>
      <c r="F22" s="343">
        <v>7.29</v>
      </c>
      <c r="G22" s="344">
        <v>8.5399999999999991</v>
      </c>
      <c r="H22" s="345">
        <v>5.55</v>
      </c>
      <c r="I22" s="345">
        <v>5.37</v>
      </c>
      <c r="J22" s="345">
        <v>1.5500000000000007</v>
      </c>
      <c r="K22" s="345">
        <v>3.91</v>
      </c>
      <c r="L22" s="346">
        <v>4.4050000000000002</v>
      </c>
      <c r="M22" s="347">
        <v>4</v>
      </c>
      <c r="N22" s="347">
        <v>6.1899999999999995</v>
      </c>
      <c r="O22" s="347">
        <v>5.45</v>
      </c>
      <c r="P22" s="348">
        <v>5.2133333333333338</v>
      </c>
      <c r="Q22" s="349">
        <v>6.052777777777778</v>
      </c>
      <c r="R22" s="350">
        <v>9.9333333333333336</v>
      </c>
      <c r="S22" s="350">
        <v>8.6999999999999993</v>
      </c>
      <c r="T22" s="350">
        <v>9.6</v>
      </c>
      <c r="U22" s="350">
        <v>6.440833333333333</v>
      </c>
    </row>
    <row r="23" spans="1:21">
      <c r="A23" s="332" t="s">
        <v>275</v>
      </c>
      <c r="D23" s="334" t="s">
        <v>256</v>
      </c>
      <c r="E23" s="343">
        <v>8.59</v>
      </c>
      <c r="F23" s="343">
        <v>5.82</v>
      </c>
      <c r="G23" s="344">
        <v>7.2050000000000001</v>
      </c>
      <c r="H23" s="345">
        <v>7.16</v>
      </c>
      <c r="I23" s="345">
        <v>7.59</v>
      </c>
      <c r="J23" s="345">
        <v>4.41</v>
      </c>
      <c r="K23" s="345">
        <v>6.42</v>
      </c>
      <c r="L23" s="346">
        <v>6.5859999999999994</v>
      </c>
      <c r="M23" s="347">
        <v>5.98</v>
      </c>
      <c r="N23" s="347">
        <v>6.7</v>
      </c>
      <c r="O23" s="347">
        <v>5.12</v>
      </c>
      <c r="P23" s="348">
        <v>5.9333333333333336</v>
      </c>
      <c r="Q23" s="349">
        <v>6.5747777777777783</v>
      </c>
      <c r="R23" s="350">
        <v>3</v>
      </c>
      <c r="S23" s="350">
        <v>8.6999999999999993</v>
      </c>
      <c r="T23" s="350">
        <v>7.2</v>
      </c>
      <c r="U23" s="350">
        <v>6.2172999999999998</v>
      </c>
    </row>
    <row r="24" spans="1:21">
      <c r="A24" s="332" t="s">
        <v>276</v>
      </c>
      <c r="C24" s="334" t="s">
        <v>265</v>
      </c>
      <c r="D24" s="334" t="s">
        <v>249</v>
      </c>
      <c r="E24" s="343">
        <v>4.41</v>
      </c>
      <c r="F24" s="343">
        <v>7.75</v>
      </c>
      <c r="G24" s="344">
        <v>6.08</v>
      </c>
      <c r="H24" s="345">
        <v>9.44</v>
      </c>
      <c r="I24" s="345">
        <v>6.17</v>
      </c>
      <c r="J24" s="345">
        <v>3.3499999999999996</v>
      </c>
      <c r="K24" s="345">
        <v>7.6400000000000006</v>
      </c>
      <c r="L24" s="346">
        <v>6.6829999999999998</v>
      </c>
      <c r="M24" s="347">
        <v>5.24</v>
      </c>
      <c r="N24" s="347">
        <v>7.23</v>
      </c>
      <c r="O24" s="347">
        <v>6.16</v>
      </c>
      <c r="P24" s="348">
        <v>6.2100000000000009</v>
      </c>
      <c r="Q24" s="349">
        <v>6.3243333333333327</v>
      </c>
      <c r="R24" s="350">
        <v>4.8666666666666671</v>
      </c>
      <c r="S24" s="350">
        <v>1.8</v>
      </c>
      <c r="T24" s="350">
        <v>6.6</v>
      </c>
      <c r="U24" s="350">
        <v>6.1785666666666659</v>
      </c>
    </row>
    <row r="25" spans="1:21">
      <c r="A25" s="332" t="s">
        <v>277</v>
      </c>
      <c r="B25" s="334" t="s">
        <v>245</v>
      </c>
      <c r="C25" s="334" t="s">
        <v>246</v>
      </c>
      <c r="D25" s="334" t="s">
        <v>254</v>
      </c>
      <c r="E25" s="343">
        <v>1.2100000000000009</v>
      </c>
      <c r="F25" s="343">
        <v>6.38</v>
      </c>
      <c r="G25" s="344">
        <v>3.7950000000000004</v>
      </c>
      <c r="H25" s="345">
        <v>6.63</v>
      </c>
      <c r="I25" s="345">
        <v>8.83</v>
      </c>
      <c r="J25" s="345">
        <v>3.7800000000000002</v>
      </c>
      <c r="K25" s="345">
        <v>7.77</v>
      </c>
      <c r="L25" s="346">
        <v>6.7444999999999995</v>
      </c>
      <c r="M25" s="347">
        <v>7.8900000000000006</v>
      </c>
      <c r="N25" s="347">
        <v>6.77</v>
      </c>
      <c r="O25" s="347">
        <v>6.98</v>
      </c>
      <c r="P25" s="348">
        <v>7.2133333333333338</v>
      </c>
      <c r="Q25" s="349">
        <v>5.9176111111111114</v>
      </c>
      <c r="R25" s="350">
        <v>8.1666666666666661</v>
      </c>
      <c r="S25" s="350">
        <v>8.6999999999999993</v>
      </c>
      <c r="T25" s="350">
        <v>8.6</v>
      </c>
      <c r="U25" s="350">
        <v>6.1425166666666664</v>
      </c>
    </row>
    <row r="26" spans="1:21">
      <c r="A26" s="332" t="s">
        <v>278</v>
      </c>
      <c r="B26" s="334" t="s">
        <v>245</v>
      </c>
      <c r="C26" s="334" t="s">
        <v>265</v>
      </c>
      <c r="D26" s="334" t="s">
        <v>249</v>
      </c>
      <c r="E26" s="343">
        <v>2.0700000000000003</v>
      </c>
      <c r="F26" s="343">
        <v>4.28</v>
      </c>
      <c r="G26" s="344">
        <v>3.1750000000000003</v>
      </c>
      <c r="H26" s="345">
        <v>8.620000000000001</v>
      </c>
      <c r="I26" s="345">
        <v>8.49</v>
      </c>
      <c r="J26" s="345">
        <v>5.28</v>
      </c>
      <c r="K26" s="345">
        <v>7.35</v>
      </c>
      <c r="L26" s="346">
        <v>7.6760000000000002</v>
      </c>
      <c r="M26" s="347">
        <v>6.15</v>
      </c>
      <c r="N26" s="347">
        <v>8.39</v>
      </c>
      <c r="O26" s="347">
        <v>6.52</v>
      </c>
      <c r="P26" s="348">
        <v>7.0200000000000005</v>
      </c>
      <c r="Q26" s="349">
        <v>5.9570000000000007</v>
      </c>
      <c r="R26" s="350">
        <v>7.7333333333333343</v>
      </c>
      <c r="S26" s="350">
        <v>7.6</v>
      </c>
      <c r="T26" s="350">
        <v>9.1999999999999993</v>
      </c>
      <c r="U26" s="350">
        <v>6.1346333333333334</v>
      </c>
    </row>
    <row r="27" spans="1:21">
      <c r="A27" s="332" t="s">
        <v>279</v>
      </c>
      <c r="D27" s="334" t="s">
        <v>247</v>
      </c>
      <c r="E27" s="343">
        <v>4.1399999999999997</v>
      </c>
      <c r="F27" s="343">
        <v>4.51</v>
      </c>
      <c r="G27" s="344">
        <v>4.3249999999999993</v>
      </c>
      <c r="H27" s="345">
        <v>9.7799999999999994</v>
      </c>
      <c r="I27" s="345">
        <v>8.76</v>
      </c>
      <c r="J27" s="345">
        <v>2.5499999999999998</v>
      </c>
      <c r="K27" s="345">
        <v>8.09</v>
      </c>
      <c r="L27" s="346">
        <v>7.5309999999999988</v>
      </c>
      <c r="M27" s="347">
        <v>4.4400000000000004</v>
      </c>
      <c r="N27" s="347">
        <v>7.46</v>
      </c>
      <c r="O27" s="347">
        <v>7.52</v>
      </c>
      <c r="P27" s="348">
        <v>6.4733333333333336</v>
      </c>
      <c r="Q27" s="349">
        <v>6.1097777777777766</v>
      </c>
      <c r="R27" s="350">
        <v>5.9666666666666668</v>
      </c>
      <c r="S27" s="350">
        <v>8.6999999999999993</v>
      </c>
      <c r="T27" s="350">
        <v>8</v>
      </c>
      <c r="U27" s="350">
        <v>6.0954666666666659</v>
      </c>
    </row>
    <row r="28" spans="1:21">
      <c r="A28" s="332" t="s">
        <v>280</v>
      </c>
      <c r="C28" s="334" t="s">
        <v>265</v>
      </c>
      <c r="D28" s="334" t="s">
        <v>247</v>
      </c>
      <c r="E28" s="343">
        <v>4.87</v>
      </c>
      <c r="F28" s="343">
        <v>5.61</v>
      </c>
      <c r="G28" s="344">
        <v>5.24</v>
      </c>
      <c r="H28" s="345">
        <v>7.42</v>
      </c>
      <c r="I28" s="345">
        <v>7.42</v>
      </c>
      <c r="J28" s="345">
        <v>1.9000000000000004</v>
      </c>
      <c r="K28" s="345">
        <v>8.4700000000000006</v>
      </c>
      <c r="L28" s="346">
        <v>6.0925000000000002</v>
      </c>
      <c r="M28" s="347">
        <v>6.27</v>
      </c>
      <c r="N28" s="347">
        <v>7.49</v>
      </c>
      <c r="O28" s="347">
        <v>6.67</v>
      </c>
      <c r="P28" s="348">
        <v>6.81</v>
      </c>
      <c r="Q28" s="349">
        <v>6.0474999999999994</v>
      </c>
      <c r="R28" s="350">
        <v>5.6333333333333337</v>
      </c>
      <c r="S28" s="350">
        <v>9.6999999999999993</v>
      </c>
      <c r="T28" s="350">
        <v>7.4</v>
      </c>
      <c r="U28" s="350">
        <v>6.0060833333333337</v>
      </c>
    </row>
    <row r="29" spans="1:21">
      <c r="A29" s="332" t="s">
        <v>281</v>
      </c>
      <c r="D29" s="334" t="s">
        <v>247</v>
      </c>
      <c r="E29" s="343">
        <v>2.5</v>
      </c>
      <c r="F29" s="343">
        <v>4.74</v>
      </c>
      <c r="G29" s="344">
        <v>3.62</v>
      </c>
      <c r="H29" s="345">
        <v>9.43</v>
      </c>
      <c r="I29" s="345">
        <v>8.98</v>
      </c>
      <c r="J29" s="345">
        <v>3.2300000000000004</v>
      </c>
      <c r="K29" s="345">
        <v>6.87</v>
      </c>
      <c r="L29" s="346">
        <v>7.5944999999999991</v>
      </c>
      <c r="M29" s="347">
        <v>6.51</v>
      </c>
      <c r="N29" s="347">
        <v>7</v>
      </c>
      <c r="O29" s="347">
        <v>8.02</v>
      </c>
      <c r="P29" s="348">
        <v>7.1766666666666667</v>
      </c>
      <c r="Q29" s="349">
        <v>6.1303888888888887</v>
      </c>
      <c r="R29" s="350">
        <v>4.5333333333333332</v>
      </c>
      <c r="S29" s="350">
        <v>8.6999999999999993</v>
      </c>
      <c r="T29" s="350">
        <v>6.2</v>
      </c>
      <c r="U29" s="350">
        <v>5.9706833333333336</v>
      </c>
    </row>
    <row r="30" spans="1:21">
      <c r="A30" s="332" t="s">
        <v>282</v>
      </c>
      <c r="D30" s="334" t="s">
        <v>249</v>
      </c>
      <c r="E30" s="343">
        <v>2.2800000000000002</v>
      </c>
      <c r="F30" s="343">
        <v>6.73</v>
      </c>
      <c r="G30" s="344">
        <v>4.5050000000000008</v>
      </c>
      <c r="H30" s="345">
        <v>8.5399999999999991</v>
      </c>
      <c r="I30" s="345">
        <v>8.61</v>
      </c>
      <c r="J30" s="345">
        <v>4.17</v>
      </c>
      <c r="K30" s="345">
        <v>7.62</v>
      </c>
      <c r="L30" s="346">
        <v>7.4260000000000002</v>
      </c>
      <c r="M30" s="347">
        <v>6.59</v>
      </c>
      <c r="N30" s="347">
        <v>7.99</v>
      </c>
      <c r="O30" s="347">
        <v>5.36</v>
      </c>
      <c r="P30" s="348">
        <v>6.6466666666666674</v>
      </c>
      <c r="Q30" s="349">
        <v>6.1925555555555567</v>
      </c>
      <c r="R30" s="350">
        <v>3.7666666666666666</v>
      </c>
      <c r="S30" s="350">
        <v>6.2</v>
      </c>
      <c r="T30" s="350">
        <v>6.7</v>
      </c>
      <c r="U30" s="350">
        <v>5.9499666666666666</v>
      </c>
    </row>
    <row r="31" spans="1:21">
      <c r="A31" s="332" t="s">
        <v>283</v>
      </c>
      <c r="D31" s="334" t="s">
        <v>256</v>
      </c>
      <c r="E31" s="343">
        <v>8.4499999999999993</v>
      </c>
      <c r="F31" s="343">
        <v>6.25</v>
      </c>
      <c r="G31" s="344">
        <v>7.35</v>
      </c>
      <c r="H31" s="345">
        <v>7.3599999999999994</v>
      </c>
      <c r="I31" s="345">
        <v>6.88</v>
      </c>
      <c r="J31" s="345">
        <v>3.5999999999999996</v>
      </c>
      <c r="K31" s="345">
        <v>6.62</v>
      </c>
      <c r="L31" s="346">
        <v>6.2150000000000007</v>
      </c>
      <c r="M31" s="347">
        <v>4.0599999999999996</v>
      </c>
      <c r="N31" s="347">
        <v>5.15</v>
      </c>
      <c r="O31" s="347">
        <v>5.92</v>
      </c>
      <c r="P31" s="348">
        <v>5.0433333333333339</v>
      </c>
      <c r="Q31" s="349">
        <v>6.2027777777777784</v>
      </c>
      <c r="R31" s="350">
        <v>3</v>
      </c>
      <c r="S31" s="350">
        <v>0.2</v>
      </c>
      <c r="T31" s="350">
        <v>5.5</v>
      </c>
      <c r="U31" s="350">
        <v>5.8824999999999994</v>
      </c>
    </row>
    <row r="32" spans="1:21">
      <c r="A32" s="332" t="s">
        <v>284</v>
      </c>
      <c r="D32" s="334" t="s">
        <v>249</v>
      </c>
      <c r="E32" s="343">
        <v>4.05</v>
      </c>
      <c r="F32" s="343">
        <v>3.7699999999999996</v>
      </c>
      <c r="G32" s="344">
        <v>3.9099999999999997</v>
      </c>
      <c r="H32" s="345">
        <v>9.61</v>
      </c>
      <c r="I32" s="345">
        <v>7.18</v>
      </c>
      <c r="J32" s="345">
        <v>5.21</v>
      </c>
      <c r="K32" s="345">
        <v>6.34</v>
      </c>
      <c r="L32" s="346">
        <v>7.4960000000000004</v>
      </c>
      <c r="M32" s="347">
        <v>6.7799999999999994</v>
      </c>
      <c r="N32" s="347">
        <v>7.09</v>
      </c>
      <c r="O32" s="347">
        <v>6.25</v>
      </c>
      <c r="P32" s="348">
        <v>6.7066666666666661</v>
      </c>
      <c r="Q32" s="349">
        <v>6.0375555555555556</v>
      </c>
      <c r="R32" s="350">
        <v>3.7666666666666666</v>
      </c>
      <c r="S32" s="350">
        <v>6.2</v>
      </c>
      <c r="T32" s="350">
        <v>6.7</v>
      </c>
      <c r="U32" s="350">
        <v>5.8104666666666667</v>
      </c>
    </row>
    <row r="33" spans="1:21">
      <c r="A33" s="332" t="s">
        <v>285</v>
      </c>
      <c r="D33" s="334" t="s">
        <v>251</v>
      </c>
      <c r="E33" s="343">
        <v>5.37</v>
      </c>
      <c r="F33" s="343">
        <v>4.8600000000000003</v>
      </c>
      <c r="G33" s="344">
        <v>5.1150000000000002</v>
      </c>
      <c r="H33" s="345">
        <v>6.8100000000000005</v>
      </c>
      <c r="I33" s="345">
        <v>7.32</v>
      </c>
      <c r="J33" s="345">
        <v>2.67</v>
      </c>
      <c r="K33" s="345">
        <v>4.7699999999999996</v>
      </c>
      <c r="L33" s="346">
        <v>5.8514999999999997</v>
      </c>
      <c r="M33" s="347">
        <v>7.35</v>
      </c>
      <c r="N33" s="347">
        <v>7.3599999999999994</v>
      </c>
      <c r="O33" s="347">
        <v>4</v>
      </c>
      <c r="P33" s="348">
        <v>6.2366666666666672</v>
      </c>
      <c r="Q33" s="349">
        <v>5.7343888888888896</v>
      </c>
      <c r="R33" s="350">
        <v>6.3000000000000007</v>
      </c>
      <c r="S33" s="350">
        <v>8.6999999999999993</v>
      </c>
      <c r="T33" s="350">
        <v>8.6</v>
      </c>
      <c r="U33" s="350">
        <v>5.7909499999999996</v>
      </c>
    </row>
    <row r="34" spans="1:21">
      <c r="A34" s="332" t="s">
        <v>286</v>
      </c>
      <c r="D34" s="334" t="s">
        <v>254</v>
      </c>
      <c r="E34" s="343">
        <v>3.8899999999999997</v>
      </c>
      <c r="F34" s="343">
        <v>3.41</v>
      </c>
      <c r="G34" s="344">
        <v>3.65</v>
      </c>
      <c r="H34" s="345">
        <v>9.19</v>
      </c>
      <c r="I34" s="345">
        <v>8.1999999999999993</v>
      </c>
      <c r="J34" s="345">
        <v>5.3</v>
      </c>
      <c r="K34" s="345">
        <v>8.16</v>
      </c>
      <c r="L34" s="346">
        <v>7.8194999999999997</v>
      </c>
      <c r="M34" s="347">
        <v>4.12</v>
      </c>
      <c r="N34" s="347">
        <v>7.26</v>
      </c>
      <c r="O34" s="347">
        <v>7.12</v>
      </c>
      <c r="P34" s="348">
        <v>6.166666666666667</v>
      </c>
      <c r="Q34" s="349">
        <v>5.8787222222222226</v>
      </c>
      <c r="R34" s="350">
        <v>4.8666666666666671</v>
      </c>
      <c r="S34" s="350">
        <v>1</v>
      </c>
      <c r="T34" s="350">
        <v>5.6</v>
      </c>
      <c r="U34" s="350">
        <v>5.7775166666666671</v>
      </c>
    </row>
    <row r="35" spans="1:21">
      <c r="A35" s="332" t="s">
        <v>287</v>
      </c>
      <c r="C35" s="334" t="s">
        <v>265</v>
      </c>
      <c r="D35" s="334" t="s">
        <v>256</v>
      </c>
      <c r="E35" s="343">
        <v>5.58</v>
      </c>
      <c r="F35" s="343">
        <v>4.6100000000000003</v>
      </c>
      <c r="G35" s="344">
        <v>5.0950000000000006</v>
      </c>
      <c r="H35" s="345">
        <v>7.74</v>
      </c>
      <c r="I35" s="345">
        <v>6.26</v>
      </c>
      <c r="J35" s="345">
        <v>2.92</v>
      </c>
      <c r="K35" s="345">
        <v>7.32</v>
      </c>
      <c r="L35" s="346">
        <v>5.9960000000000004</v>
      </c>
      <c r="M35" s="347">
        <v>5.71</v>
      </c>
      <c r="N35" s="347">
        <v>6.82</v>
      </c>
      <c r="O35" s="347">
        <v>9.02</v>
      </c>
      <c r="P35" s="348">
        <v>7.1833333333333336</v>
      </c>
      <c r="Q35" s="349">
        <v>6.0914444444444449</v>
      </c>
      <c r="R35" s="350">
        <v>2.6666666666666665</v>
      </c>
      <c r="S35" s="350">
        <v>9.6999999999999993</v>
      </c>
      <c r="T35" s="350">
        <v>6.5</v>
      </c>
      <c r="U35" s="350">
        <v>5.748966666666667</v>
      </c>
    </row>
    <row r="36" spans="1:21">
      <c r="A36" s="332" t="s">
        <v>288</v>
      </c>
      <c r="D36" s="334" t="s">
        <v>254</v>
      </c>
      <c r="E36" s="343">
        <v>3.09</v>
      </c>
      <c r="F36" s="343">
        <v>3.5300000000000002</v>
      </c>
      <c r="G36" s="344">
        <v>3.31</v>
      </c>
      <c r="H36" s="345">
        <v>9.1300000000000008</v>
      </c>
      <c r="I36" s="345">
        <v>8.370000000000001</v>
      </c>
      <c r="J36" s="345">
        <v>7.7799999999999994</v>
      </c>
      <c r="K36" s="345">
        <v>6.7</v>
      </c>
      <c r="L36" s="346">
        <v>8.4050000000000011</v>
      </c>
      <c r="M36" s="347">
        <v>5.61</v>
      </c>
      <c r="N36" s="347">
        <v>7.2799999999999994</v>
      </c>
      <c r="O36" s="347">
        <v>6.12</v>
      </c>
      <c r="P36" s="348">
        <v>6.3366666666666669</v>
      </c>
      <c r="Q36" s="349">
        <v>6.0172222222222231</v>
      </c>
      <c r="R36" s="350">
        <v>2.3333333333333335</v>
      </c>
      <c r="S36" s="350">
        <v>1.8</v>
      </c>
      <c r="T36" s="350">
        <v>3.9</v>
      </c>
      <c r="U36" s="350">
        <v>5.6488333333333332</v>
      </c>
    </row>
    <row r="37" spans="1:21">
      <c r="A37" s="332" t="s">
        <v>289</v>
      </c>
      <c r="D37" s="334" t="s">
        <v>268</v>
      </c>
      <c r="E37" s="343">
        <v>7.51</v>
      </c>
      <c r="F37" s="343">
        <v>4.57</v>
      </c>
      <c r="G37" s="344">
        <v>6.04</v>
      </c>
      <c r="H37" s="345">
        <v>5.04</v>
      </c>
      <c r="I37" s="345">
        <v>5.9</v>
      </c>
      <c r="J37" s="345">
        <v>3.58</v>
      </c>
      <c r="K37" s="345">
        <v>3.01</v>
      </c>
      <c r="L37" s="346">
        <v>4.8745000000000003</v>
      </c>
      <c r="M37" s="347">
        <v>6</v>
      </c>
      <c r="N37" s="347">
        <v>6.4399999999999995</v>
      </c>
      <c r="O37" s="347">
        <v>4.83</v>
      </c>
      <c r="P37" s="348">
        <v>5.7566666666666668</v>
      </c>
      <c r="Q37" s="349">
        <v>5.5570555555555563</v>
      </c>
      <c r="R37" s="350">
        <v>6.4</v>
      </c>
      <c r="S37" s="350">
        <v>9.3000000000000007</v>
      </c>
      <c r="T37" s="350">
        <v>7.3</v>
      </c>
      <c r="U37" s="350">
        <v>5.641350000000001</v>
      </c>
    </row>
    <row r="38" spans="1:21">
      <c r="A38" s="332" t="s">
        <v>290</v>
      </c>
      <c r="B38" s="334" t="s">
        <v>245</v>
      </c>
      <c r="C38" s="334" t="s">
        <v>246</v>
      </c>
      <c r="D38" s="334" t="s">
        <v>256</v>
      </c>
      <c r="E38" s="343">
        <v>8.0299999999999994</v>
      </c>
      <c r="F38" s="343">
        <v>4.37</v>
      </c>
      <c r="G38" s="344">
        <v>6.1999999999999993</v>
      </c>
      <c r="H38" s="345">
        <v>5.55</v>
      </c>
      <c r="I38" s="345">
        <v>5.32</v>
      </c>
      <c r="J38" s="345">
        <v>1.9100000000000001</v>
      </c>
      <c r="K38" s="345">
        <v>5.85</v>
      </c>
      <c r="L38" s="346">
        <v>4.5745000000000005</v>
      </c>
      <c r="M38" s="347">
        <v>5.07</v>
      </c>
      <c r="N38" s="347">
        <v>5.5</v>
      </c>
      <c r="O38" s="347">
        <v>5.7</v>
      </c>
      <c r="P38" s="348">
        <v>5.4233333333333329</v>
      </c>
      <c r="Q38" s="349">
        <v>5.399277777777777</v>
      </c>
      <c r="R38" s="350">
        <v>7.7333333333333343</v>
      </c>
      <c r="S38" s="350">
        <v>9.6999999999999993</v>
      </c>
      <c r="T38" s="350">
        <v>9.3000000000000007</v>
      </c>
      <c r="U38" s="350">
        <v>5.6326833333333326</v>
      </c>
    </row>
    <row r="39" spans="1:21">
      <c r="A39" s="332" t="s">
        <v>423</v>
      </c>
      <c r="D39" s="334" t="s">
        <v>249</v>
      </c>
      <c r="E39" s="343">
        <v>3.7300000000000004</v>
      </c>
      <c r="F39" s="343">
        <v>3.0599999999999996</v>
      </c>
      <c r="G39" s="344">
        <v>3.395</v>
      </c>
      <c r="H39" s="345">
        <v>7.92</v>
      </c>
      <c r="I39" s="345">
        <v>7.13</v>
      </c>
      <c r="J39" s="345">
        <v>5.39</v>
      </c>
      <c r="K39" s="345">
        <v>7</v>
      </c>
      <c r="L39" s="346">
        <v>6.9649999999999999</v>
      </c>
      <c r="M39" s="347">
        <v>7.01</v>
      </c>
      <c r="N39" s="347">
        <v>7.77</v>
      </c>
      <c r="O39" s="347">
        <v>6.13</v>
      </c>
      <c r="P39" s="348">
        <v>6.97</v>
      </c>
      <c r="Q39" s="349">
        <v>5.7766666666666664</v>
      </c>
      <c r="R39" s="350">
        <v>4.2</v>
      </c>
      <c r="S39" s="350">
        <v>3.1</v>
      </c>
      <c r="T39" s="350">
        <v>5.0999999999999996</v>
      </c>
      <c r="U39" s="350">
        <v>5.6189999999999998</v>
      </c>
    </row>
    <row r="40" spans="1:21">
      <c r="A40" s="332" t="s">
        <v>292</v>
      </c>
      <c r="B40" s="334" t="s">
        <v>245</v>
      </c>
      <c r="C40" s="334" t="s">
        <v>246</v>
      </c>
      <c r="D40" s="334" t="s">
        <v>268</v>
      </c>
      <c r="E40" s="343">
        <v>6.8</v>
      </c>
      <c r="F40" s="343">
        <v>6.83</v>
      </c>
      <c r="G40" s="344">
        <v>6.8149999999999995</v>
      </c>
      <c r="H40" s="345">
        <v>4.04</v>
      </c>
      <c r="I40" s="345">
        <v>3.74</v>
      </c>
      <c r="J40" s="345">
        <v>4.6500000000000004</v>
      </c>
      <c r="K40" s="345">
        <v>3.54</v>
      </c>
      <c r="L40" s="346">
        <v>4.0625</v>
      </c>
      <c r="M40" s="347">
        <v>5.32</v>
      </c>
      <c r="N40" s="347">
        <v>5.81</v>
      </c>
      <c r="O40" s="347">
        <v>4.21</v>
      </c>
      <c r="P40" s="348">
        <v>5.1133333333333333</v>
      </c>
      <c r="Q40" s="349">
        <v>5.3302777777777779</v>
      </c>
      <c r="R40" s="350">
        <v>8.1666666666666661</v>
      </c>
      <c r="S40" s="350">
        <v>8.6999999999999993</v>
      </c>
      <c r="T40" s="350">
        <v>8.6</v>
      </c>
      <c r="U40" s="350">
        <v>5.6139166666666664</v>
      </c>
    </row>
    <row r="41" spans="1:21">
      <c r="A41" s="332" t="s">
        <v>293</v>
      </c>
      <c r="D41" s="334" t="s">
        <v>249</v>
      </c>
      <c r="E41" s="343">
        <v>2.9800000000000004</v>
      </c>
      <c r="F41" s="343">
        <v>4.5999999999999996</v>
      </c>
      <c r="G41" s="344">
        <v>3.79</v>
      </c>
      <c r="H41" s="345">
        <v>9.6999999999999993</v>
      </c>
      <c r="I41" s="345">
        <v>7.17</v>
      </c>
      <c r="J41" s="345">
        <v>2.04</v>
      </c>
      <c r="K41" s="345">
        <v>7.16</v>
      </c>
      <c r="L41" s="346">
        <v>6.7724999999999982</v>
      </c>
      <c r="M41" s="347">
        <v>4.63</v>
      </c>
      <c r="N41" s="347">
        <v>7.41</v>
      </c>
      <c r="O41" s="347">
        <v>6.9700000000000006</v>
      </c>
      <c r="P41" s="348">
        <v>6.336666666666666</v>
      </c>
      <c r="Q41" s="349">
        <v>5.633055555555555</v>
      </c>
      <c r="R41" s="350">
        <v>5.2</v>
      </c>
      <c r="S41" s="350">
        <v>6.2</v>
      </c>
      <c r="T41" s="350">
        <v>8.1</v>
      </c>
      <c r="U41" s="350">
        <v>5.5897499999999987</v>
      </c>
    </row>
    <row r="42" spans="1:21">
      <c r="A42" s="332" t="s">
        <v>294</v>
      </c>
      <c r="B42" s="334" t="s">
        <v>245</v>
      </c>
      <c r="C42" s="334" t="s">
        <v>265</v>
      </c>
      <c r="D42" s="334" t="s">
        <v>251</v>
      </c>
      <c r="E42" s="343">
        <v>5.09</v>
      </c>
      <c r="F42" s="343">
        <v>7.7200000000000006</v>
      </c>
      <c r="G42" s="344">
        <v>6.4050000000000002</v>
      </c>
      <c r="H42" s="345">
        <v>4.49</v>
      </c>
      <c r="I42" s="345">
        <v>3.5999999999999996</v>
      </c>
      <c r="J42" s="345">
        <v>4.21</v>
      </c>
      <c r="K42" s="345">
        <v>3.0700000000000003</v>
      </c>
      <c r="L42" s="346">
        <v>4.0374999999999996</v>
      </c>
      <c r="M42" s="347">
        <v>7.7</v>
      </c>
      <c r="N42" s="347">
        <v>5.67</v>
      </c>
      <c r="O42" s="347">
        <v>4.1399999999999997</v>
      </c>
      <c r="P42" s="348">
        <v>5.8366666666666669</v>
      </c>
      <c r="Q42" s="349">
        <v>5.426388888888888</v>
      </c>
      <c r="R42" s="350">
        <v>6.6333333333333337</v>
      </c>
      <c r="S42" s="350">
        <v>6.2</v>
      </c>
      <c r="T42" s="350">
        <v>8.6</v>
      </c>
      <c r="U42" s="350">
        <v>5.5470833333333331</v>
      </c>
    </row>
    <row r="43" spans="1:21">
      <c r="A43" s="332" t="s">
        <v>295</v>
      </c>
      <c r="D43" s="334" t="s">
        <v>256</v>
      </c>
      <c r="E43" s="343">
        <v>3.59</v>
      </c>
      <c r="F43" s="343">
        <v>4.26</v>
      </c>
      <c r="G43" s="344">
        <v>3.9249999999999998</v>
      </c>
      <c r="H43" s="345">
        <v>7.4</v>
      </c>
      <c r="I43" s="345">
        <v>7.52</v>
      </c>
      <c r="J43" s="345">
        <v>1.6799999999999997</v>
      </c>
      <c r="K43" s="345">
        <v>6.91</v>
      </c>
      <c r="L43" s="346">
        <v>5.9874999999999998</v>
      </c>
      <c r="M43" s="347">
        <v>7.62</v>
      </c>
      <c r="N43" s="347">
        <v>7.4399999999999995</v>
      </c>
      <c r="O43" s="347">
        <v>6</v>
      </c>
      <c r="P43" s="348">
        <v>7.02</v>
      </c>
      <c r="Q43" s="349">
        <v>5.6441666666666661</v>
      </c>
      <c r="R43" s="350">
        <v>4.5333333333333332</v>
      </c>
      <c r="S43" s="350">
        <v>6.2</v>
      </c>
      <c r="T43" s="350">
        <v>5.7</v>
      </c>
      <c r="U43" s="350">
        <v>5.5330833333333329</v>
      </c>
    </row>
    <row r="44" spans="1:21">
      <c r="A44" s="332" t="s">
        <v>296</v>
      </c>
      <c r="D44" s="334" t="s">
        <v>249</v>
      </c>
      <c r="E44" s="343">
        <v>3.29</v>
      </c>
      <c r="F44" s="343">
        <v>2.9000000000000004</v>
      </c>
      <c r="G44" s="344">
        <v>3.0950000000000002</v>
      </c>
      <c r="H44" s="345">
        <v>9.7100000000000009</v>
      </c>
      <c r="I44" s="345">
        <v>7.23</v>
      </c>
      <c r="J44" s="345">
        <v>4.2300000000000004</v>
      </c>
      <c r="K44" s="345">
        <v>8.15</v>
      </c>
      <c r="L44" s="346">
        <v>7.3940000000000001</v>
      </c>
      <c r="M44" s="347">
        <v>3.6799999999999997</v>
      </c>
      <c r="N44" s="347">
        <v>7.9399999999999995</v>
      </c>
      <c r="O44" s="347">
        <v>7.27</v>
      </c>
      <c r="P44" s="348">
        <v>6.2966666666666669</v>
      </c>
      <c r="Q44" s="349">
        <v>5.5952222222222225</v>
      </c>
      <c r="R44" s="350">
        <v>4.8666666666666671</v>
      </c>
      <c r="S44" s="350">
        <v>6.2</v>
      </c>
      <c r="T44" s="350">
        <v>7.5</v>
      </c>
      <c r="U44" s="350">
        <v>5.5223666666666666</v>
      </c>
    </row>
    <row r="45" spans="1:21">
      <c r="A45" s="332" t="s">
        <v>297</v>
      </c>
      <c r="B45" s="334" t="s">
        <v>245</v>
      </c>
      <c r="D45" s="334" t="s">
        <v>256</v>
      </c>
      <c r="E45" s="343">
        <v>2.99</v>
      </c>
      <c r="F45" s="343">
        <v>3.41</v>
      </c>
      <c r="G45" s="344">
        <v>3.2</v>
      </c>
      <c r="H45" s="345">
        <v>6.5600000000000005</v>
      </c>
      <c r="I45" s="345">
        <v>8.379999999999999</v>
      </c>
      <c r="J45" s="345">
        <v>1.9900000000000002</v>
      </c>
      <c r="K45" s="345">
        <v>6.5299999999999994</v>
      </c>
      <c r="L45" s="346">
        <v>6.0529999999999999</v>
      </c>
      <c r="M45" s="347">
        <v>5.15</v>
      </c>
      <c r="N45" s="347">
        <v>6.46</v>
      </c>
      <c r="O45" s="347">
        <v>8.5399999999999991</v>
      </c>
      <c r="P45" s="348">
        <v>6.7166666666666659</v>
      </c>
      <c r="Q45" s="349">
        <v>5.3232222222222214</v>
      </c>
      <c r="R45" s="350">
        <v>7.0666666666666664</v>
      </c>
      <c r="S45" s="350">
        <v>8.6999999999999993</v>
      </c>
      <c r="T45" s="350">
        <v>8</v>
      </c>
      <c r="U45" s="350">
        <v>5.4975666666666667</v>
      </c>
    </row>
    <row r="46" spans="1:21">
      <c r="A46" s="332" t="s">
        <v>424</v>
      </c>
      <c r="D46" s="334" t="s">
        <v>256</v>
      </c>
      <c r="E46" s="343">
        <v>3.74</v>
      </c>
      <c r="F46" s="343">
        <v>6.6899999999999995</v>
      </c>
      <c r="G46" s="344">
        <v>5.2149999999999999</v>
      </c>
      <c r="H46" s="345">
        <v>6.1</v>
      </c>
      <c r="I46" s="345">
        <v>6.52</v>
      </c>
      <c r="J46" s="345">
        <v>1.4499999999999993</v>
      </c>
      <c r="K46" s="345">
        <v>4.0599999999999996</v>
      </c>
      <c r="L46" s="346">
        <v>4.9824999999999999</v>
      </c>
      <c r="M46" s="347">
        <v>8.06</v>
      </c>
      <c r="N46" s="347">
        <v>7.0299999999999994</v>
      </c>
      <c r="O46" s="347">
        <v>4.6399999999999997</v>
      </c>
      <c r="P46" s="348">
        <v>6.5766666666666671</v>
      </c>
      <c r="Q46" s="349">
        <v>5.591388888888889</v>
      </c>
      <c r="R46" s="350">
        <v>4.5</v>
      </c>
      <c r="S46" s="350">
        <v>9.6999999999999993</v>
      </c>
      <c r="T46" s="350">
        <v>6.5</v>
      </c>
      <c r="U46" s="350">
        <v>5.4822500000000005</v>
      </c>
    </row>
    <row r="47" spans="1:21">
      <c r="A47" s="332" t="s">
        <v>299</v>
      </c>
      <c r="D47" s="334" t="s">
        <v>249</v>
      </c>
      <c r="E47" s="343">
        <v>3.1799999999999997</v>
      </c>
      <c r="F47" s="343">
        <v>2.83</v>
      </c>
      <c r="G47" s="344">
        <v>3.0049999999999999</v>
      </c>
      <c r="H47" s="345">
        <v>9.24</v>
      </c>
      <c r="I47" s="345">
        <v>9.11</v>
      </c>
      <c r="J47" s="345">
        <v>3.9699999999999998</v>
      </c>
      <c r="K47" s="345">
        <v>7.88</v>
      </c>
      <c r="L47" s="346">
        <v>7.8089999999999993</v>
      </c>
      <c r="M47" s="347">
        <v>5.48</v>
      </c>
      <c r="N47" s="347">
        <v>7.08</v>
      </c>
      <c r="O47" s="347">
        <v>5.76</v>
      </c>
      <c r="P47" s="348">
        <v>6.1066666666666665</v>
      </c>
      <c r="Q47" s="349">
        <v>5.6402222222222216</v>
      </c>
      <c r="R47" s="350">
        <v>3.7666666666666666</v>
      </c>
      <c r="S47" s="350">
        <v>1</v>
      </c>
      <c r="T47" s="350">
        <v>5.6</v>
      </c>
      <c r="U47" s="350">
        <v>5.452866666666667</v>
      </c>
    </row>
    <row r="48" spans="1:21">
      <c r="A48" s="332" t="s">
        <v>300</v>
      </c>
      <c r="D48" s="334" t="s">
        <v>249</v>
      </c>
      <c r="E48" s="343">
        <v>3.71</v>
      </c>
      <c r="F48" s="343">
        <v>3.05</v>
      </c>
      <c r="G48" s="344">
        <v>3.38</v>
      </c>
      <c r="H48" s="345">
        <v>8.7899999999999991</v>
      </c>
      <c r="I48" s="345">
        <v>5.74</v>
      </c>
      <c r="J48" s="345">
        <v>3.8499999999999996</v>
      </c>
      <c r="K48" s="345">
        <v>6.9399999999999995</v>
      </c>
      <c r="L48" s="346">
        <v>6.3949999999999996</v>
      </c>
      <c r="M48" s="347">
        <v>4.83</v>
      </c>
      <c r="N48" s="347">
        <v>7.3599999999999994</v>
      </c>
      <c r="O48" s="347">
        <v>5.83</v>
      </c>
      <c r="P48" s="348">
        <v>6.0066666666666668</v>
      </c>
      <c r="Q48" s="349">
        <v>5.2605555555555554</v>
      </c>
      <c r="R48" s="350">
        <v>6.4</v>
      </c>
      <c r="S48" s="350">
        <v>3.1</v>
      </c>
      <c r="T48" s="350">
        <v>6.1</v>
      </c>
      <c r="U48" s="350">
        <v>5.3745000000000012</v>
      </c>
    </row>
    <row r="49" spans="1:21">
      <c r="A49" s="332" t="s">
        <v>301</v>
      </c>
      <c r="C49" s="334" t="s">
        <v>263</v>
      </c>
      <c r="D49" s="334" t="s">
        <v>249</v>
      </c>
      <c r="E49" s="343">
        <v>3.01</v>
      </c>
      <c r="F49" s="343">
        <v>3.2199999999999998</v>
      </c>
      <c r="G49" s="344">
        <v>3.1149999999999998</v>
      </c>
      <c r="H49" s="345">
        <v>7.6899999999999995</v>
      </c>
      <c r="I49" s="345">
        <v>7.27</v>
      </c>
      <c r="J49" s="345">
        <v>4.9000000000000004</v>
      </c>
      <c r="K49" s="345">
        <v>6.75</v>
      </c>
      <c r="L49" s="346">
        <v>6.7984999999999989</v>
      </c>
      <c r="M49" s="347">
        <v>5.54</v>
      </c>
      <c r="N49" s="347">
        <v>7.26</v>
      </c>
      <c r="O49" s="347">
        <v>5.25</v>
      </c>
      <c r="P49" s="348">
        <v>6.0166666666666666</v>
      </c>
      <c r="Q49" s="349">
        <v>5.3100555555555546</v>
      </c>
      <c r="R49" s="350">
        <v>5.5333333333333332</v>
      </c>
      <c r="S49" s="350">
        <v>4.5999999999999996</v>
      </c>
      <c r="T49" s="350">
        <v>8.3000000000000007</v>
      </c>
      <c r="U49" s="350">
        <v>5.3323833333333335</v>
      </c>
    </row>
    <row r="50" spans="1:21">
      <c r="A50" s="332" t="s">
        <v>302</v>
      </c>
      <c r="D50" s="334" t="s">
        <v>249</v>
      </c>
      <c r="E50" s="343">
        <v>1.8800000000000008</v>
      </c>
      <c r="F50" s="343">
        <v>4.59</v>
      </c>
      <c r="G50" s="344">
        <v>3.2350000000000003</v>
      </c>
      <c r="H50" s="345">
        <v>8.1999999999999993</v>
      </c>
      <c r="I50" s="345">
        <v>6.2</v>
      </c>
      <c r="J50" s="345">
        <v>2.2599999999999998</v>
      </c>
      <c r="K50" s="345">
        <v>9.18</v>
      </c>
      <c r="L50" s="346">
        <v>6.0639999999999983</v>
      </c>
      <c r="M50" s="347">
        <v>5.38</v>
      </c>
      <c r="N50" s="347">
        <v>7.66</v>
      </c>
      <c r="O50" s="347">
        <v>7.43</v>
      </c>
      <c r="P50" s="348">
        <v>6.8233333333333333</v>
      </c>
      <c r="Q50" s="349">
        <v>5.3741111111111115</v>
      </c>
      <c r="R50" s="350">
        <v>4.8666666666666671</v>
      </c>
      <c r="S50" s="350">
        <v>6.2</v>
      </c>
      <c r="T50" s="350">
        <v>7.5</v>
      </c>
      <c r="U50" s="350">
        <v>5.323366666666665</v>
      </c>
    </row>
    <row r="51" spans="1:21">
      <c r="A51" s="332" t="s">
        <v>303</v>
      </c>
      <c r="B51" s="334" t="s">
        <v>245</v>
      </c>
      <c r="C51" s="334" t="s">
        <v>265</v>
      </c>
      <c r="D51" s="334" t="s">
        <v>251</v>
      </c>
      <c r="E51" s="343">
        <v>4.0599999999999996</v>
      </c>
      <c r="F51" s="343">
        <v>5.36</v>
      </c>
      <c r="G51" s="344">
        <v>4.71</v>
      </c>
      <c r="H51" s="345">
        <v>3.0999999999999996</v>
      </c>
      <c r="I51" s="345">
        <v>4.04</v>
      </c>
      <c r="J51" s="345">
        <v>6.71</v>
      </c>
      <c r="K51" s="345">
        <v>4.08</v>
      </c>
      <c r="L51" s="346">
        <v>4.3804999999999996</v>
      </c>
      <c r="M51" s="347">
        <v>7.62</v>
      </c>
      <c r="N51" s="347">
        <v>6.49</v>
      </c>
      <c r="O51" s="347">
        <v>4.1399999999999997</v>
      </c>
      <c r="P51" s="348">
        <v>6.083333333333333</v>
      </c>
      <c r="Q51" s="349">
        <v>5.0579444444444439</v>
      </c>
      <c r="R51" s="350">
        <v>7.4</v>
      </c>
      <c r="S51" s="350">
        <v>9.6999999999999993</v>
      </c>
      <c r="T51" s="350">
        <v>9.3000000000000007</v>
      </c>
      <c r="U51" s="350">
        <v>5.2921499999999995</v>
      </c>
    </row>
    <row r="52" spans="1:21">
      <c r="A52" s="332" t="s">
        <v>304</v>
      </c>
      <c r="B52" s="334" t="s">
        <v>245</v>
      </c>
      <c r="C52" s="334" t="s">
        <v>246</v>
      </c>
      <c r="D52" s="334" t="s">
        <v>256</v>
      </c>
      <c r="E52" s="343">
        <v>4.72</v>
      </c>
      <c r="F52" s="343">
        <v>5.47</v>
      </c>
      <c r="G52" s="344">
        <v>5.0949999999999998</v>
      </c>
      <c r="H52" s="345">
        <v>3.08</v>
      </c>
      <c r="I52" s="345">
        <v>5.91</v>
      </c>
      <c r="J52" s="345">
        <v>3.01</v>
      </c>
      <c r="K52" s="345">
        <v>3.5999999999999996</v>
      </c>
      <c r="L52" s="346">
        <v>4.0789999999999997</v>
      </c>
      <c r="M52" s="347">
        <v>5.18</v>
      </c>
      <c r="N52" s="347">
        <v>6.5600000000000005</v>
      </c>
      <c r="O52" s="347">
        <v>3.66</v>
      </c>
      <c r="P52" s="348">
        <v>5.1333333333333337</v>
      </c>
      <c r="Q52" s="349">
        <v>4.7691111111111111</v>
      </c>
      <c r="R52" s="350">
        <v>9.9333333333333336</v>
      </c>
      <c r="S52" s="350">
        <v>1.8</v>
      </c>
      <c r="T52" s="350">
        <v>8.1999999999999993</v>
      </c>
      <c r="U52" s="350">
        <v>5.2855333333333325</v>
      </c>
    </row>
    <row r="53" spans="1:21">
      <c r="A53" s="332" t="s">
        <v>305</v>
      </c>
      <c r="C53" s="334" t="s">
        <v>265</v>
      </c>
      <c r="D53" s="334" t="s">
        <v>268</v>
      </c>
      <c r="E53" s="343">
        <v>6.2799999999999994</v>
      </c>
      <c r="F53" s="343">
        <v>6.59</v>
      </c>
      <c r="G53" s="344">
        <v>6.4349999999999996</v>
      </c>
      <c r="H53" s="345">
        <v>4.4000000000000004</v>
      </c>
      <c r="I53" s="345">
        <v>4.8600000000000003</v>
      </c>
      <c r="J53" s="345">
        <v>1.7699999999999996</v>
      </c>
      <c r="K53" s="345">
        <v>4.3099999999999996</v>
      </c>
      <c r="L53" s="346">
        <v>3.899</v>
      </c>
      <c r="M53" s="347">
        <v>6.3100000000000005</v>
      </c>
      <c r="N53" s="347">
        <v>6.88</v>
      </c>
      <c r="O53" s="347">
        <v>4.04</v>
      </c>
      <c r="P53" s="348">
        <v>5.7433333333333332</v>
      </c>
      <c r="Q53" s="349">
        <v>5.3591111111111109</v>
      </c>
      <c r="R53" s="350">
        <v>4.5333333333333332</v>
      </c>
      <c r="S53" s="350">
        <v>9.3000000000000007</v>
      </c>
      <c r="T53" s="350">
        <v>6.4</v>
      </c>
      <c r="U53" s="350">
        <v>5.2765333333333331</v>
      </c>
    </row>
    <row r="54" spans="1:21">
      <c r="A54" s="332" t="s">
        <v>306</v>
      </c>
      <c r="C54" s="334" t="s">
        <v>246</v>
      </c>
      <c r="D54" s="334" t="s">
        <v>251</v>
      </c>
      <c r="E54" s="343">
        <v>1.8000000000000007</v>
      </c>
      <c r="F54" s="343">
        <v>7.55</v>
      </c>
      <c r="G54" s="344">
        <v>4.6750000000000007</v>
      </c>
      <c r="H54" s="345">
        <v>3.17</v>
      </c>
      <c r="I54" s="345">
        <v>6.26</v>
      </c>
      <c r="J54" s="345">
        <v>3.75</v>
      </c>
      <c r="K54" s="345">
        <v>3.6399999999999997</v>
      </c>
      <c r="L54" s="346">
        <v>4.42</v>
      </c>
      <c r="M54" s="347">
        <v>6.92</v>
      </c>
      <c r="N54" s="347">
        <v>7.16</v>
      </c>
      <c r="O54" s="347">
        <v>3.74</v>
      </c>
      <c r="P54" s="348">
        <v>5.94</v>
      </c>
      <c r="Q54" s="349">
        <v>5.0116666666666667</v>
      </c>
      <c r="R54" s="350">
        <v>7.4</v>
      </c>
      <c r="S54" s="350">
        <v>9.6999999999999993</v>
      </c>
      <c r="T54" s="350">
        <v>9.3000000000000007</v>
      </c>
      <c r="U54" s="350">
        <v>5.2505000000000006</v>
      </c>
    </row>
    <row r="55" spans="1:21">
      <c r="A55" s="332" t="s">
        <v>307</v>
      </c>
      <c r="D55" s="334" t="s">
        <v>256</v>
      </c>
      <c r="E55" s="343">
        <v>4.09</v>
      </c>
      <c r="F55" s="343">
        <v>3</v>
      </c>
      <c r="G55" s="344">
        <v>3.5449999999999999</v>
      </c>
      <c r="H55" s="345">
        <v>9.1300000000000008</v>
      </c>
      <c r="I55" s="345">
        <v>7.3599999999999994</v>
      </c>
      <c r="J55" s="345">
        <v>1.3800000000000008</v>
      </c>
      <c r="K55" s="345">
        <v>7.77</v>
      </c>
      <c r="L55" s="346">
        <v>6.5049999999999999</v>
      </c>
      <c r="M55" s="347">
        <v>6.1</v>
      </c>
      <c r="N55" s="347">
        <v>7.25</v>
      </c>
      <c r="O55" s="347">
        <v>5.97</v>
      </c>
      <c r="P55" s="348">
        <v>6.44</v>
      </c>
      <c r="Q55" s="349">
        <v>5.496666666666667</v>
      </c>
      <c r="R55" s="350">
        <v>3</v>
      </c>
      <c r="S55" s="350">
        <v>6.2</v>
      </c>
      <c r="T55" s="350">
        <v>6.7</v>
      </c>
      <c r="U55" s="350">
        <v>5.246999999999999</v>
      </c>
    </row>
    <row r="56" spans="1:21">
      <c r="A56" s="332" t="s">
        <v>308</v>
      </c>
      <c r="D56" s="334" t="s">
        <v>249</v>
      </c>
      <c r="E56" s="343">
        <v>2.96</v>
      </c>
      <c r="F56" s="343">
        <v>4.0999999999999996</v>
      </c>
      <c r="G56" s="344">
        <v>3.53</v>
      </c>
      <c r="H56" s="345">
        <v>8.27</v>
      </c>
      <c r="I56" s="345">
        <v>7.7</v>
      </c>
      <c r="J56" s="345">
        <v>3.45</v>
      </c>
      <c r="K56" s="345">
        <v>7.7</v>
      </c>
      <c r="L56" s="346">
        <v>6.8369999999999989</v>
      </c>
      <c r="M56" s="347">
        <v>5.65</v>
      </c>
      <c r="N56" s="347">
        <v>7.04</v>
      </c>
      <c r="O56" s="347">
        <v>5.52</v>
      </c>
      <c r="P56" s="348">
        <v>6.07</v>
      </c>
      <c r="Q56" s="349">
        <v>5.4789999999999992</v>
      </c>
      <c r="R56" s="350">
        <v>3.1</v>
      </c>
      <c r="S56" s="350">
        <v>1</v>
      </c>
      <c r="T56" s="350">
        <v>3.7</v>
      </c>
      <c r="U56" s="350">
        <v>5.2410999999999994</v>
      </c>
    </row>
    <row r="57" spans="1:21">
      <c r="A57" s="332" t="s">
        <v>309</v>
      </c>
      <c r="C57" s="334" t="s">
        <v>265</v>
      </c>
      <c r="D57" s="334" t="s">
        <v>268</v>
      </c>
      <c r="E57" s="343">
        <v>8.52</v>
      </c>
      <c r="F57" s="343">
        <v>3.58</v>
      </c>
      <c r="G57" s="344">
        <v>6.05</v>
      </c>
      <c r="H57" s="345">
        <v>4</v>
      </c>
      <c r="I57" s="345">
        <v>5.64</v>
      </c>
      <c r="J57" s="345">
        <v>1.67</v>
      </c>
      <c r="K57" s="345">
        <v>4.53</v>
      </c>
      <c r="L57" s="346">
        <v>4.0179999999999998</v>
      </c>
      <c r="M57" s="347">
        <v>6.2799999999999994</v>
      </c>
      <c r="N57" s="347">
        <v>6.1899999999999995</v>
      </c>
      <c r="O57" s="347">
        <v>3.6399999999999997</v>
      </c>
      <c r="P57" s="348">
        <v>5.37</v>
      </c>
      <c r="Q57" s="349">
        <v>5.1459999999999999</v>
      </c>
      <c r="R57" s="350">
        <v>5.9666666666666668</v>
      </c>
      <c r="S57" s="350">
        <v>8.6999999999999993</v>
      </c>
      <c r="T57" s="350">
        <v>8</v>
      </c>
      <c r="U57" s="350">
        <v>5.228066666666666</v>
      </c>
    </row>
    <row r="58" spans="1:21">
      <c r="A58" s="332" t="s">
        <v>310</v>
      </c>
      <c r="D58" s="334" t="s">
        <v>251</v>
      </c>
      <c r="E58" s="343">
        <v>4.6100000000000003</v>
      </c>
      <c r="F58" s="343">
        <v>6.73</v>
      </c>
      <c r="G58" s="344">
        <v>5.67</v>
      </c>
      <c r="H58" s="345">
        <v>4.8899999999999997</v>
      </c>
      <c r="I58" s="345">
        <v>4.05</v>
      </c>
      <c r="J58" s="345">
        <v>7.04</v>
      </c>
      <c r="K58" s="345">
        <v>4.8499999999999996</v>
      </c>
      <c r="L58" s="346">
        <v>5.1314999999999991</v>
      </c>
      <c r="M58" s="347">
        <v>6.9399999999999995</v>
      </c>
      <c r="N58" s="347">
        <v>5.98</v>
      </c>
      <c r="O58" s="347">
        <v>4.5999999999999996</v>
      </c>
      <c r="P58" s="348">
        <v>5.84</v>
      </c>
      <c r="Q58" s="349">
        <v>5.5471666666666666</v>
      </c>
      <c r="R58" s="350">
        <v>2.3333333333333335</v>
      </c>
      <c r="S58" s="350">
        <v>8.6999999999999993</v>
      </c>
      <c r="T58" s="350">
        <v>5.3</v>
      </c>
      <c r="U58" s="350">
        <v>5.2257833333333332</v>
      </c>
    </row>
    <row r="59" spans="1:21">
      <c r="A59" s="332" t="s">
        <v>311</v>
      </c>
      <c r="D59" s="334" t="s">
        <v>251</v>
      </c>
      <c r="E59" s="343">
        <v>5.96</v>
      </c>
      <c r="F59" s="343">
        <v>5.37</v>
      </c>
      <c r="G59" s="344">
        <v>5.665</v>
      </c>
      <c r="H59" s="345">
        <v>4.33</v>
      </c>
      <c r="I59" s="345">
        <v>5.79</v>
      </c>
      <c r="J59" s="345">
        <v>1.67</v>
      </c>
      <c r="K59" s="345">
        <v>3.24</v>
      </c>
      <c r="L59" s="346">
        <v>4.1215000000000002</v>
      </c>
      <c r="M59" s="347">
        <v>7.66</v>
      </c>
      <c r="N59" s="347">
        <v>7.25</v>
      </c>
      <c r="O59" s="347">
        <v>3.08</v>
      </c>
      <c r="P59" s="348">
        <v>5.996666666666667</v>
      </c>
      <c r="Q59" s="349">
        <v>5.2610555555555552</v>
      </c>
      <c r="R59" s="350">
        <v>4.2</v>
      </c>
      <c r="S59" s="350">
        <v>6.2</v>
      </c>
      <c r="T59" s="350">
        <v>5.7</v>
      </c>
      <c r="U59" s="350">
        <v>5.1549499999999995</v>
      </c>
    </row>
    <row r="60" spans="1:21">
      <c r="A60" s="332" t="s">
        <v>312</v>
      </c>
      <c r="D60" s="334" t="s">
        <v>247</v>
      </c>
      <c r="E60" s="343">
        <v>2.75</v>
      </c>
      <c r="F60" s="343">
        <v>2.4800000000000004</v>
      </c>
      <c r="G60" s="344">
        <v>2.6150000000000002</v>
      </c>
      <c r="H60" s="345">
        <v>9.33</v>
      </c>
      <c r="I60" s="345">
        <v>8.42</v>
      </c>
      <c r="J60" s="345">
        <v>3.7</v>
      </c>
      <c r="K60" s="345">
        <v>6.96</v>
      </c>
      <c r="L60" s="346">
        <v>7.4854999999999992</v>
      </c>
      <c r="M60" s="347">
        <v>3.2199999999999998</v>
      </c>
      <c r="N60" s="347">
        <v>7.7</v>
      </c>
      <c r="O60" s="347">
        <v>7.54</v>
      </c>
      <c r="P60" s="348">
        <v>6.1533333333333333</v>
      </c>
      <c r="Q60" s="349">
        <v>5.4179444444444442</v>
      </c>
      <c r="R60" s="350">
        <v>2.6666666666666665</v>
      </c>
      <c r="S60" s="350">
        <v>6.2</v>
      </c>
      <c r="T60" s="350">
        <v>5.7</v>
      </c>
      <c r="U60" s="350">
        <v>5.1428166666666657</v>
      </c>
    </row>
    <row r="61" spans="1:21">
      <c r="A61" s="332" t="s">
        <v>313</v>
      </c>
      <c r="D61" s="334" t="s">
        <v>247</v>
      </c>
      <c r="E61" s="343">
        <v>2.95</v>
      </c>
      <c r="F61" s="343">
        <v>2.59</v>
      </c>
      <c r="G61" s="344">
        <v>2.77</v>
      </c>
      <c r="H61" s="345">
        <v>9.14</v>
      </c>
      <c r="I61" s="345">
        <v>8.23</v>
      </c>
      <c r="J61" s="345">
        <v>3.4699999999999998</v>
      </c>
      <c r="K61" s="345">
        <v>5.9</v>
      </c>
      <c r="L61" s="346">
        <v>7.2419999999999991</v>
      </c>
      <c r="M61" s="347">
        <v>4.7</v>
      </c>
      <c r="N61" s="347">
        <v>7.6400000000000006</v>
      </c>
      <c r="O61" s="347">
        <v>6.29</v>
      </c>
      <c r="P61" s="348">
        <v>6.21</v>
      </c>
      <c r="Q61" s="349">
        <v>5.4073333333333329</v>
      </c>
      <c r="R61" s="350">
        <v>2.3333333333333335</v>
      </c>
      <c r="S61" s="350">
        <v>4.5999999999999996</v>
      </c>
      <c r="T61" s="350">
        <v>4.5</v>
      </c>
      <c r="U61" s="350">
        <v>5.0999333333333334</v>
      </c>
    </row>
    <row r="62" spans="1:21">
      <c r="A62" s="332" t="s">
        <v>314</v>
      </c>
      <c r="D62" s="334" t="s">
        <v>249</v>
      </c>
      <c r="E62" s="343">
        <v>2.3600000000000003</v>
      </c>
      <c r="F62" s="343">
        <v>2.2199999999999998</v>
      </c>
      <c r="G62" s="344">
        <v>2.29</v>
      </c>
      <c r="H62" s="345">
        <v>7.91</v>
      </c>
      <c r="I62" s="345">
        <v>7.34</v>
      </c>
      <c r="J62" s="345">
        <v>4.0999999999999996</v>
      </c>
      <c r="K62" s="345">
        <v>3.79</v>
      </c>
      <c r="L62" s="346">
        <v>6.5520000000000005</v>
      </c>
      <c r="M62" s="347">
        <v>6.6</v>
      </c>
      <c r="N62" s="347">
        <v>7.51</v>
      </c>
      <c r="O62" s="347">
        <v>4.92</v>
      </c>
      <c r="P62" s="348">
        <v>6.3433333333333337</v>
      </c>
      <c r="Q62" s="349">
        <v>5.0617777777777784</v>
      </c>
      <c r="R62" s="350">
        <v>4.8666666666666671</v>
      </c>
      <c r="S62" s="350">
        <v>1</v>
      </c>
      <c r="T62" s="350">
        <v>6.4</v>
      </c>
      <c r="U62" s="350">
        <v>5.0422666666666665</v>
      </c>
    </row>
    <row r="63" spans="1:21">
      <c r="A63" s="332" t="s">
        <v>315</v>
      </c>
      <c r="B63" s="334" t="s">
        <v>245</v>
      </c>
      <c r="C63" s="334" t="s">
        <v>263</v>
      </c>
      <c r="D63" s="334" t="s">
        <v>256</v>
      </c>
      <c r="E63" s="343">
        <v>4.9400000000000004</v>
      </c>
      <c r="F63" s="343">
        <v>6.1099999999999994</v>
      </c>
      <c r="G63" s="344">
        <v>5.5250000000000004</v>
      </c>
      <c r="H63" s="345">
        <v>4.67</v>
      </c>
      <c r="I63" s="345">
        <v>5.57</v>
      </c>
      <c r="J63" s="345">
        <v>4.42</v>
      </c>
      <c r="K63" s="345">
        <v>2.5599999999999996</v>
      </c>
      <c r="L63" s="346">
        <v>4.8170000000000002</v>
      </c>
      <c r="M63" s="347">
        <v>5.87</v>
      </c>
      <c r="N63" s="347">
        <v>5.17</v>
      </c>
      <c r="O63" s="347">
        <v>4.82</v>
      </c>
      <c r="P63" s="348">
        <v>5.2866666666666662</v>
      </c>
      <c r="Q63" s="349">
        <v>5.2095555555555562</v>
      </c>
      <c r="R63" s="350">
        <v>3.3333333333333335</v>
      </c>
      <c r="S63" s="350">
        <v>1.8</v>
      </c>
      <c r="T63" s="350">
        <v>7.2</v>
      </c>
      <c r="U63" s="350">
        <v>5.0219333333333322</v>
      </c>
    </row>
    <row r="64" spans="1:21">
      <c r="A64" s="332" t="s">
        <v>316</v>
      </c>
      <c r="C64" s="334" t="s">
        <v>265</v>
      </c>
      <c r="D64" s="334" t="s">
        <v>268</v>
      </c>
      <c r="E64" s="343">
        <v>6.5299999999999994</v>
      </c>
      <c r="F64" s="343">
        <v>3.3600000000000003</v>
      </c>
      <c r="G64" s="344">
        <v>4.9450000000000003</v>
      </c>
      <c r="H64" s="345">
        <v>4.25</v>
      </c>
      <c r="I64" s="345">
        <v>5.46</v>
      </c>
      <c r="J64" s="345">
        <v>1.6400000000000006</v>
      </c>
      <c r="K64" s="345">
        <v>5.32</v>
      </c>
      <c r="L64" s="346">
        <v>4.0744999999999996</v>
      </c>
      <c r="M64" s="347">
        <v>6.24</v>
      </c>
      <c r="N64" s="347">
        <v>7.4</v>
      </c>
      <c r="O64" s="347">
        <v>4.83</v>
      </c>
      <c r="P64" s="348">
        <v>6.1566666666666663</v>
      </c>
      <c r="Q64" s="349">
        <v>5.0587222222222223</v>
      </c>
      <c r="R64" s="350">
        <v>4.5333333333333332</v>
      </c>
      <c r="S64" s="350">
        <v>8.6999999999999993</v>
      </c>
      <c r="T64" s="350">
        <v>6.2</v>
      </c>
      <c r="U64" s="350">
        <v>5.0061833333333325</v>
      </c>
    </row>
    <row r="65" spans="1:21">
      <c r="A65" s="332" t="s">
        <v>317</v>
      </c>
      <c r="B65" s="334" t="s">
        <v>245</v>
      </c>
      <c r="D65" s="334" t="s">
        <v>251</v>
      </c>
      <c r="E65" s="343">
        <v>5.14</v>
      </c>
      <c r="F65" s="343">
        <v>3.84</v>
      </c>
      <c r="G65" s="344">
        <v>4.49</v>
      </c>
      <c r="H65" s="345">
        <v>4.33</v>
      </c>
      <c r="I65" s="345">
        <v>3.9800000000000004</v>
      </c>
      <c r="J65" s="345">
        <v>4.57</v>
      </c>
      <c r="K65" s="345">
        <v>2.16</v>
      </c>
      <c r="L65" s="346">
        <v>4.1589999999999998</v>
      </c>
      <c r="M65" s="347">
        <v>5.5</v>
      </c>
      <c r="N65" s="347">
        <v>7.1899999999999995</v>
      </c>
      <c r="O65" s="347">
        <v>2.87</v>
      </c>
      <c r="P65" s="348">
        <v>5.1866666666666665</v>
      </c>
      <c r="Q65" s="349">
        <v>4.6118888888888891</v>
      </c>
      <c r="R65" s="350">
        <v>8.5</v>
      </c>
      <c r="S65" s="350">
        <v>8.6999999999999993</v>
      </c>
      <c r="T65" s="350">
        <v>9.1</v>
      </c>
      <c r="U65" s="350">
        <v>5.0007000000000001</v>
      </c>
    </row>
    <row r="66" spans="1:21">
      <c r="A66" s="332" t="s">
        <v>318</v>
      </c>
      <c r="D66" s="334" t="s">
        <v>256</v>
      </c>
      <c r="E66" s="343">
        <v>7.6099999999999994</v>
      </c>
      <c r="F66" s="343">
        <v>5.76</v>
      </c>
      <c r="G66" s="344">
        <v>6.6849999999999996</v>
      </c>
      <c r="H66" s="345">
        <v>4.5999999999999996</v>
      </c>
      <c r="I66" s="345">
        <v>4.41</v>
      </c>
      <c r="J66" s="345">
        <v>1.1400000000000006</v>
      </c>
      <c r="K66" s="345">
        <v>5.4</v>
      </c>
      <c r="L66" s="346">
        <v>3.7084999999999999</v>
      </c>
      <c r="M66" s="347">
        <v>5.15</v>
      </c>
      <c r="N66" s="347">
        <v>4.2</v>
      </c>
      <c r="O66" s="347">
        <v>5.13</v>
      </c>
      <c r="P66" s="348">
        <v>4.8266666666666671</v>
      </c>
      <c r="Q66" s="349">
        <v>5.0733888888888892</v>
      </c>
      <c r="R66" s="350">
        <v>4.0999999999999996</v>
      </c>
      <c r="S66" s="350">
        <v>0.2</v>
      </c>
      <c r="T66" s="350">
        <v>6.3</v>
      </c>
      <c r="U66" s="350">
        <v>4.9760499999999999</v>
      </c>
    </row>
    <row r="67" spans="1:21">
      <c r="A67" s="332" t="s">
        <v>319</v>
      </c>
      <c r="D67" s="334" t="s">
        <v>251</v>
      </c>
      <c r="E67" s="343">
        <v>6.1</v>
      </c>
      <c r="F67" s="343">
        <v>4.78</v>
      </c>
      <c r="G67" s="344">
        <v>5.4399999999999995</v>
      </c>
      <c r="H67" s="345">
        <v>4.92</v>
      </c>
      <c r="I67" s="345">
        <v>5.7</v>
      </c>
      <c r="J67" s="345">
        <v>1.2599999999999998</v>
      </c>
      <c r="K67" s="345">
        <v>3.8200000000000003</v>
      </c>
      <c r="L67" s="346">
        <v>4.2229999999999999</v>
      </c>
      <c r="M67" s="347">
        <v>8.06</v>
      </c>
      <c r="N67" s="347">
        <v>6.1</v>
      </c>
      <c r="O67" s="347">
        <v>3.37</v>
      </c>
      <c r="P67" s="348">
        <v>5.8433333333333337</v>
      </c>
      <c r="Q67" s="349">
        <v>5.1687777777777777</v>
      </c>
      <c r="R67" s="350">
        <v>3.1</v>
      </c>
      <c r="S67" s="350">
        <v>4.5999999999999996</v>
      </c>
      <c r="T67" s="350">
        <v>4.5</v>
      </c>
      <c r="U67" s="350">
        <v>4.9619</v>
      </c>
    </row>
    <row r="68" spans="1:21">
      <c r="A68" s="332" t="s">
        <v>320</v>
      </c>
      <c r="D68" s="334" t="s">
        <v>254</v>
      </c>
      <c r="E68" s="343">
        <v>1.0600000000000005</v>
      </c>
      <c r="F68" s="343">
        <v>2.7300000000000004</v>
      </c>
      <c r="G68" s="344">
        <v>1.8950000000000005</v>
      </c>
      <c r="H68" s="345">
        <v>6.85</v>
      </c>
      <c r="I68" s="345">
        <v>8.02</v>
      </c>
      <c r="J68" s="345">
        <v>4.0999999999999996</v>
      </c>
      <c r="K68" s="345">
        <v>6.08</v>
      </c>
      <c r="L68" s="346">
        <v>6.5335000000000001</v>
      </c>
      <c r="M68" s="347">
        <v>6.46</v>
      </c>
      <c r="N68" s="347">
        <v>7.7</v>
      </c>
      <c r="O68" s="347">
        <v>5.42</v>
      </c>
      <c r="P68" s="348">
        <v>6.5266666666666664</v>
      </c>
      <c r="Q68" s="349">
        <v>4.9850555555555554</v>
      </c>
      <c r="R68" s="350">
        <v>4.5333333333333332</v>
      </c>
      <c r="S68" s="350">
        <v>7.6</v>
      </c>
      <c r="T68" s="350">
        <v>7</v>
      </c>
      <c r="U68" s="350">
        <v>4.9398833333333325</v>
      </c>
    </row>
    <row r="69" spans="1:21">
      <c r="A69" s="332" t="s">
        <v>321</v>
      </c>
      <c r="D69" s="334" t="s">
        <v>249</v>
      </c>
      <c r="E69" s="343">
        <v>2.71</v>
      </c>
      <c r="F69" s="343">
        <v>4.4800000000000004</v>
      </c>
      <c r="G69" s="344">
        <v>3.5950000000000002</v>
      </c>
      <c r="H69" s="345">
        <v>7.4700000000000006</v>
      </c>
      <c r="I69" s="345">
        <v>8.33</v>
      </c>
      <c r="J69" s="345">
        <v>1.7899999999999991</v>
      </c>
      <c r="K69" s="345">
        <v>7.05</v>
      </c>
      <c r="L69" s="346">
        <v>6.3299999999999992</v>
      </c>
      <c r="M69" s="347">
        <v>8.0500000000000007</v>
      </c>
      <c r="N69" s="347">
        <v>5.46</v>
      </c>
      <c r="O69" s="347">
        <v>4.71</v>
      </c>
      <c r="P69" s="348">
        <v>6.0733333333333341</v>
      </c>
      <c r="Q69" s="349">
        <v>5.3327777777777774</v>
      </c>
      <c r="R69" s="350">
        <v>1.3333333333333333</v>
      </c>
      <c r="S69" s="350">
        <v>1</v>
      </c>
      <c r="T69" s="350">
        <v>1.3</v>
      </c>
      <c r="U69" s="350">
        <v>4.9328333333333338</v>
      </c>
    </row>
    <row r="70" spans="1:21">
      <c r="A70" s="332" t="s">
        <v>322</v>
      </c>
      <c r="D70" s="334" t="s">
        <v>247</v>
      </c>
      <c r="E70" s="343">
        <v>2.4000000000000004</v>
      </c>
      <c r="F70" s="343">
        <v>3.1900000000000004</v>
      </c>
      <c r="G70" s="344">
        <v>2.7950000000000004</v>
      </c>
      <c r="H70" s="345">
        <v>7.76</v>
      </c>
      <c r="I70" s="345">
        <v>8.42</v>
      </c>
      <c r="J70" s="345">
        <v>1.6400000000000006</v>
      </c>
      <c r="K70" s="345">
        <v>4.8</v>
      </c>
      <c r="L70" s="346">
        <v>6.3129999999999997</v>
      </c>
      <c r="M70" s="347">
        <v>5.4</v>
      </c>
      <c r="N70" s="347">
        <v>7.62</v>
      </c>
      <c r="O70" s="347">
        <v>7.48</v>
      </c>
      <c r="P70" s="348">
        <v>6.833333333333333</v>
      </c>
      <c r="Q70" s="349">
        <v>5.3137777777777773</v>
      </c>
      <c r="R70" s="350">
        <v>1</v>
      </c>
      <c r="S70" s="350">
        <v>1</v>
      </c>
      <c r="T70" s="350">
        <v>0.9</v>
      </c>
      <c r="U70" s="350">
        <v>4.8823999999999996</v>
      </c>
    </row>
    <row r="71" spans="1:21">
      <c r="A71" s="332" t="s">
        <v>323</v>
      </c>
      <c r="C71" s="334" t="s">
        <v>265</v>
      </c>
      <c r="D71" s="334" t="s">
        <v>268</v>
      </c>
      <c r="E71" s="343">
        <v>6.79</v>
      </c>
      <c r="F71" s="343">
        <v>3.91</v>
      </c>
      <c r="G71" s="344">
        <v>5.35</v>
      </c>
      <c r="H71" s="345">
        <v>4.5999999999999996</v>
      </c>
      <c r="I71" s="345">
        <v>4.0999999999999996</v>
      </c>
      <c r="J71" s="345">
        <v>2.25</v>
      </c>
      <c r="K71" s="345">
        <v>5.37</v>
      </c>
      <c r="L71" s="346">
        <v>3.8759999999999999</v>
      </c>
      <c r="M71" s="347">
        <v>4.6399999999999997</v>
      </c>
      <c r="N71" s="347">
        <v>5.94</v>
      </c>
      <c r="O71" s="347">
        <v>5.07</v>
      </c>
      <c r="P71" s="348">
        <v>5.2166666666666668</v>
      </c>
      <c r="Q71" s="349">
        <v>4.814222222222222</v>
      </c>
      <c r="R71" s="350">
        <v>4.8666666666666671</v>
      </c>
      <c r="S71" s="350">
        <v>7.6</v>
      </c>
      <c r="T71" s="350">
        <v>7</v>
      </c>
      <c r="U71" s="350">
        <v>4.8194666666666652</v>
      </c>
    </row>
    <row r="72" spans="1:21">
      <c r="A72" s="332" t="s">
        <v>324</v>
      </c>
      <c r="D72" s="334" t="s">
        <v>251</v>
      </c>
      <c r="E72" s="343">
        <v>5.05</v>
      </c>
      <c r="F72" s="343">
        <v>5.01</v>
      </c>
      <c r="G72" s="344">
        <v>5.0299999999999994</v>
      </c>
      <c r="H72" s="345">
        <v>4.5</v>
      </c>
      <c r="I72" s="345">
        <v>4.3899999999999997</v>
      </c>
      <c r="J72" s="345">
        <v>4.79</v>
      </c>
      <c r="K72" s="345">
        <v>7.09</v>
      </c>
      <c r="L72" s="346">
        <v>4.6634999999999991</v>
      </c>
      <c r="M72" s="347">
        <v>7.18</v>
      </c>
      <c r="N72" s="347">
        <v>6.34</v>
      </c>
      <c r="O72" s="347">
        <v>2.75</v>
      </c>
      <c r="P72" s="348">
        <v>5.4233333333333329</v>
      </c>
      <c r="Q72" s="349">
        <v>5.0389444444444438</v>
      </c>
      <c r="R72" s="350">
        <v>2.6666666666666665</v>
      </c>
      <c r="S72" s="350">
        <v>8.6999999999999993</v>
      </c>
      <c r="T72" s="350">
        <v>6.2</v>
      </c>
      <c r="U72" s="350">
        <v>4.8017166666666657</v>
      </c>
    </row>
    <row r="73" spans="1:21">
      <c r="A73" s="332" t="s">
        <v>325</v>
      </c>
      <c r="D73" s="334" t="s">
        <v>249</v>
      </c>
      <c r="E73" s="343">
        <v>3.21</v>
      </c>
      <c r="F73" s="343">
        <v>3.25</v>
      </c>
      <c r="G73" s="344">
        <v>3.23</v>
      </c>
      <c r="H73" s="345">
        <v>7.57</v>
      </c>
      <c r="I73" s="345">
        <v>5.93</v>
      </c>
      <c r="J73" s="345">
        <v>3.8600000000000003</v>
      </c>
      <c r="K73" s="345">
        <v>6.4</v>
      </c>
      <c r="L73" s="346">
        <v>6.01</v>
      </c>
      <c r="M73" s="347">
        <v>3.33</v>
      </c>
      <c r="N73" s="347">
        <v>7.6</v>
      </c>
      <c r="O73" s="347">
        <v>5.33</v>
      </c>
      <c r="P73" s="348">
        <v>5.419999999999999</v>
      </c>
      <c r="Q73" s="349">
        <v>4.8866666666666667</v>
      </c>
      <c r="R73" s="350">
        <v>3.7666666666666666</v>
      </c>
      <c r="S73" s="350">
        <v>1.8</v>
      </c>
      <c r="T73" s="350">
        <v>5.8</v>
      </c>
      <c r="U73" s="350">
        <v>4.7746666666666666</v>
      </c>
    </row>
    <row r="74" spans="1:21">
      <c r="A74" s="332" t="s">
        <v>326</v>
      </c>
      <c r="C74" s="334" t="s">
        <v>265</v>
      </c>
      <c r="D74" s="334" t="s">
        <v>268</v>
      </c>
      <c r="E74" s="343">
        <v>4.33</v>
      </c>
      <c r="F74" s="343">
        <v>3.95</v>
      </c>
      <c r="G74" s="344">
        <v>4.1400000000000006</v>
      </c>
      <c r="H74" s="345">
        <v>5.87</v>
      </c>
      <c r="I74" s="345">
        <v>6.38</v>
      </c>
      <c r="J74" s="345">
        <v>1.9000000000000004</v>
      </c>
      <c r="K74" s="345">
        <v>5.93</v>
      </c>
      <c r="L74" s="346">
        <v>5.0589999999999993</v>
      </c>
      <c r="M74" s="347">
        <v>4.8899999999999997</v>
      </c>
      <c r="N74" s="347">
        <v>6.32</v>
      </c>
      <c r="O74" s="347">
        <v>5.39</v>
      </c>
      <c r="P74" s="348">
        <v>5.5333333333333341</v>
      </c>
      <c r="Q74" s="349">
        <v>4.9107777777777777</v>
      </c>
      <c r="R74" s="350">
        <v>3.4333333333333336</v>
      </c>
      <c r="S74" s="350">
        <v>9.3000000000000007</v>
      </c>
      <c r="T74" s="350">
        <v>6.4</v>
      </c>
      <c r="U74" s="350">
        <v>4.7630333333333343</v>
      </c>
    </row>
    <row r="75" spans="1:21">
      <c r="A75" s="332" t="s">
        <v>327</v>
      </c>
      <c r="D75" s="334" t="s">
        <v>268</v>
      </c>
      <c r="E75" s="343">
        <v>6.73</v>
      </c>
      <c r="F75" s="343">
        <v>3.96</v>
      </c>
      <c r="G75" s="344">
        <v>5.3450000000000006</v>
      </c>
      <c r="H75" s="345">
        <v>3.74</v>
      </c>
      <c r="I75" s="345">
        <v>4.4800000000000004</v>
      </c>
      <c r="J75" s="345">
        <v>4.87</v>
      </c>
      <c r="K75" s="345">
        <v>3.3</v>
      </c>
      <c r="L75" s="346">
        <v>4.2595000000000001</v>
      </c>
      <c r="M75" s="347">
        <v>5.41</v>
      </c>
      <c r="N75" s="347">
        <v>6.33</v>
      </c>
      <c r="O75" s="347">
        <v>4.68</v>
      </c>
      <c r="P75" s="348">
        <v>5.4733333333333336</v>
      </c>
      <c r="Q75" s="349">
        <v>5.0259444444444448</v>
      </c>
      <c r="R75" s="350">
        <v>2.3333333333333335</v>
      </c>
      <c r="S75" s="350">
        <v>8.6999999999999993</v>
      </c>
      <c r="T75" s="350">
        <v>5.3</v>
      </c>
      <c r="U75" s="350">
        <v>4.756683333333334</v>
      </c>
    </row>
    <row r="76" spans="1:21">
      <c r="A76" s="332" t="s">
        <v>328</v>
      </c>
      <c r="D76" s="334" t="s">
        <v>256</v>
      </c>
      <c r="E76" s="343">
        <v>4.25</v>
      </c>
      <c r="F76" s="343">
        <v>1.0199999999999996</v>
      </c>
      <c r="G76" s="344">
        <v>2.6349999999999998</v>
      </c>
      <c r="H76" s="345">
        <v>6.7200000000000006</v>
      </c>
      <c r="I76" s="345">
        <v>5.31</v>
      </c>
      <c r="J76" s="345">
        <v>1.3100000000000005</v>
      </c>
      <c r="K76" s="345">
        <v>3.9800000000000004</v>
      </c>
      <c r="L76" s="346">
        <v>4.7370000000000001</v>
      </c>
      <c r="M76" s="347">
        <v>6.7799999999999994</v>
      </c>
      <c r="N76" s="347">
        <v>6.5600000000000005</v>
      </c>
      <c r="O76" s="347">
        <v>6.88</v>
      </c>
      <c r="P76" s="348">
        <v>6.7399999999999993</v>
      </c>
      <c r="Q76" s="349">
        <v>4.7039999999999997</v>
      </c>
      <c r="R76" s="350">
        <v>4.2</v>
      </c>
      <c r="S76" s="350">
        <v>3.1</v>
      </c>
      <c r="T76" s="350">
        <v>4.0999999999999996</v>
      </c>
      <c r="U76" s="350">
        <v>4.6535999999999991</v>
      </c>
    </row>
    <row r="77" spans="1:21">
      <c r="A77" s="332" t="s">
        <v>329</v>
      </c>
      <c r="D77" s="334" t="s">
        <v>251</v>
      </c>
      <c r="E77" s="343">
        <v>6.58</v>
      </c>
      <c r="F77" s="343">
        <v>5.66</v>
      </c>
      <c r="G77" s="344">
        <v>6.12</v>
      </c>
      <c r="H77" s="345">
        <v>4.3899999999999997</v>
      </c>
      <c r="I77" s="345">
        <v>2.9299999999999997</v>
      </c>
      <c r="J77" s="345">
        <v>4.71</v>
      </c>
      <c r="K77" s="345">
        <v>2.5199999999999996</v>
      </c>
      <c r="L77" s="346">
        <v>3.8654999999999995</v>
      </c>
      <c r="M77" s="347">
        <v>6.32</v>
      </c>
      <c r="N77" s="347">
        <v>4.57</v>
      </c>
      <c r="O77" s="347">
        <v>3</v>
      </c>
      <c r="P77" s="348">
        <v>4.63</v>
      </c>
      <c r="Q77" s="349">
        <v>4.8718333333333339</v>
      </c>
      <c r="R77" s="350">
        <v>2.6666666666666665</v>
      </c>
      <c r="S77" s="350">
        <v>0.2</v>
      </c>
      <c r="T77" s="350">
        <v>4.5</v>
      </c>
      <c r="U77" s="350">
        <v>4.6513166666666663</v>
      </c>
    </row>
    <row r="78" spans="1:21">
      <c r="A78" s="332" t="s">
        <v>330</v>
      </c>
      <c r="D78" s="334" t="s">
        <v>247</v>
      </c>
      <c r="E78" s="343">
        <v>1.7599999999999998</v>
      </c>
      <c r="F78" s="343">
        <v>2.3200000000000003</v>
      </c>
      <c r="G78" s="344">
        <v>2.04</v>
      </c>
      <c r="H78" s="345">
        <v>7.3900000000000006</v>
      </c>
      <c r="I78" s="345">
        <v>7.5</v>
      </c>
      <c r="J78" s="345">
        <v>1.9600000000000009</v>
      </c>
      <c r="K78" s="345">
        <v>5.89</v>
      </c>
      <c r="L78" s="346">
        <v>5.9960000000000004</v>
      </c>
      <c r="M78" s="347">
        <v>4.74</v>
      </c>
      <c r="N78" s="347">
        <v>7.35</v>
      </c>
      <c r="O78" s="347">
        <v>7.08</v>
      </c>
      <c r="P78" s="348">
        <v>6.3900000000000006</v>
      </c>
      <c r="Q78" s="349">
        <v>4.8086666666666673</v>
      </c>
      <c r="R78" s="350">
        <v>3.1</v>
      </c>
      <c r="S78" s="350">
        <v>8.6999999999999993</v>
      </c>
      <c r="T78" s="350">
        <v>5.3</v>
      </c>
      <c r="U78" s="350">
        <v>4.6378000000000004</v>
      </c>
    </row>
    <row r="79" spans="1:21">
      <c r="A79" s="332" t="s">
        <v>331</v>
      </c>
      <c r="C79" s="334" t="s">
        <v>265</v>
      </c>
      <c r="D79" s="334" t="s">
        <v>268</v>
      </c>
      <c r="E79" s="343">
        <v>9.1</v>
      </c>
      <c r="F79" s="343">
        <v>5.42</v>
      </c>
      <c r="G79" s="344">
        <v>7.26</v>
      </c>
      <c r="H79" s="345">
        <v>3.8099999999999996</v>
      </c>
      <c r="I79" s="345">
        <v>2.5499999999999998</v>
      </c>
      <c r="J79" s="345">
        <v>1.8599999999999994</v>
      </c>
      <c r="K79" s="345">
        <v>3.45</v>
      </c>
      <c r="L79" s="346">
        <v>2.8634999999999993</v>
      </c>
      <c r="M79" s="347">
        <v>5.64</v>
      </c>
      <c r="N79" s="347">
        <v>3.91</v>
      </c>
      <c r="O79" s="347">
        <v>4.24</v>
      </c>
      <c r="P79" s="348">
        <v>4.5966666666666667</v>
      </c>
      <c r="Q79" s="349">
        <v>4.9067222222222222</v>
      </c>
      <c r="R79" s="350">
        <v>1.6666666666666667</v>
      </c>
      <c r="S79" s="350">
        <v>3.1</v>
      </c>
      <c r="T79" s="350">
        <v>2.4</v>
      </c>
      <c r="U79" s="350">
        <v>4.5827166666666672</v>
      </c>
    </row>
    <row r="80" spans="1:21">
      <c r="A80" s="332" t="s">
        <v>332</v>
      </c>
      <c r="D80" s="334" t="s">
        <v>256</v>
      </c>
      <c r="E80" s="343">
        <v>4.18</v>
      </c>
      <c r="F80" s="343">
        <v>2.08</v>
      </c>
      <c r="G80" s="344">
        <v>3.13</v>
      </c>
      <c r="H80" s="345">
        <v>5.0199999999999996</v>
      </c>
      <c r="I80" s="345">
        <v>6.26</v>
      </c>
      <c r="J80" s="345">
        <v>1.6999999999999993</v>
      </c>
      <c r="K80" s="345">
        <v>4.8899999999999997</v>
      </c>
      <c r="L80" s="346">
        <v>4.6174999999999997</v>
      </c>
      <c r="M80" s="347">
        <v>5.49</v>
      </c>
      <c r="N80" s="347">
        <v>7.68</v>
      </c>
      <c r="O80" s="347">
        <v>7.79</v>
      </c>
      <c r="P80" s="348">
        <v>6.9866666666666672</v>
      </c>
      <c r="Q80" s="349">
        <v>4.9113888888888892</v>
      </c>
      <c r="R80" s="350">
        <v>1.3333333333333333</v>
      </c>
      <c r="S80" s="350">
        <v>9.6999999999999993</v>
      </c>
      <c r="T80" s="350">
        <v>3.1</v>
      </c>
      <c r="U80" s="350">
        <v>4.5535833333333331</v>
      </c>
    </row>
    <row r="81" spans="1:21">
      <c r="A81" s="332" t="s">
        <v>333</v>
      </c>
      <c r="C81" s="334" t="s">
        <v>263</v>
      </c>
      <c r="D81" s="334" t="s">
        <v>251</v>
      </c>
      <c r="E81" s="343">
        <v>2.3499999999999996</v>
      </c>
      <c r="F81" s="343">
        <v>7.05</v>
      </c>
      <c r="G81" s="344">
        <v>4.6999999999999993</v>
      </c>
      <c r="H81" s="345">
        <v>3.5300000000000002</v>
      </c>
      <c r="I81" s="345">
        <v>4.51</v>
      </c>
      <c r="J81" s="345">
        <v>3.55</v>
      </c>
      <c r="K81" s="345">
        <v>3.62</v>
      </c>
      <c r="L81" s="346">
        <v>3.8825000000000003</v>
      </c>
      <c r="M81" s="347">
        <v>5.96</v>
      </c>
      <c r="N81" s="347">
        <v>5.85</v>
      </c>
      <c r="O81" s="347">
        <v>4.43</v>
      </c>
      <c r="P81" s="348">
        <v>5.4133333333333331</v>
      </c>
      <c r="Q81" s="349">
        <v>4.6652777777777779</v>
      </c>
      <c r="R81" s="350">
        <v>3.3333333333333335</v>
      </c>
      <c r="S81" s="350">
        <v>8.6999999999999993</v>
      </c>
      <c r="T81" s="350">
        <v>8</v>
      </c>
      <c r="U81" s="350">
        <v>4.5320833333333326</v>
      </c>
    </row>
    <row r="82" spans="1:21">
      <c r="A82" s="332" t="s">
        <v>334</v>
      </c>
      <c r="C82" s="334" t="s">
        <v>246</v>
      </c>
      <c r="D82" s="334" t="s">
        <v>251</v>
      </c>
      <c r="E82" s="343">
        <v>1.2899999999999991</v>
      </c>
      <c r="F82" s="343">
        <v>6.87</v>
      </c>
      <c r="G82" s="344">
        <v>4.08</v>
      </c>
      <c r="H82" s="345">
        <v>2.5599999999999996</v>
      </c>
      <c r="I82" s="345">
        <v>3.74</v>
      </c>
      <c r="J82" s="345">
        <v>4.24</v>
      </c>
      <c r="K82" s="345">
        <v>6.6099999999999994</v>
      </c>
      <c r="L82" s="346">
        <v>3.5954999999999995</v>
      </c>
      <c r="M82" s="347">
        <v>7.96</v>
      </c>
      <c r="N82" s="347">
        <v>5.44</v>
      </c>
      <c r="O82" s="347">
        <v>3.75</v>
      </c>
      <c r="P82" s="348">
        <v>5.7166666666666659</v>
      </c>
      <c r="Q82" s="349">
        <v>4.4640555555555546</v>
      </c>
      <c r="R82" s="350">
        <v>4.8666666666666671</v>
      </c>
      <c r="S82" s="350">
        <v>0.2</v>
      </c>
      <c r="T82" s="350">
        <v>6.3</v>
      </c>
      <c r="U82" s="350">
        <v>4.5043166666666661</v>
      </c>
    </row>
    <row r="83" spans="1:21">
      <c r="A83" s="332" t="s">
        <v>335</v>
      </c>
      <c r="D83" s="334" t="s">
        <v>256</v>
      </c>
      <c r="E83" s="343">
        <v>5.41</v>
      </c>
      <c r="F83" s="343">
        <v>2.5</v>
      </c>
      <c r="G83" s="344">
        <v>3.9550000000000001</v>
      </c>
      <c r="H83" s="345">
        <v>4.83</v>
      </c>
      <c r="I83" s="345">
        <v>5.08</v>
      </c>
      <c r="J83" s="345">
        <v>1.1899999999999995</v>
      </c>
      <c r="K83" s="345">
        <v>3.8200000000000003</v>
      </c>
      <c r="L83" s="346">
        <v>3.9569999999999994</v>
      </c>
      <c r="M83" s="347">
        <v>5.83</v>
      </c>
      <c r="N83" s="347">
        <v>6.59</v>
      </c>
      <c r="O83" s="347">
        <v>3.5599999999999996</v>
      </c>
      <c r="P83" s="348">
        <v>5.3266666666666671</v>
      </c>
      <c r="Q83" s="349">
        <v>4.4128888888888893</v>
      </c>
      <c r="R83" s="350">
        <v>4.8666666666666671</v>
      </c>
      <c r="S83" s="350">
        <v>3.1</v>
      </c>
      <c r="T83" s="350">
        <v>6.1</v>
      </c>
      <c r="U83" s="350">
        <v>4.4582666666666659</v>
      </c>
    </row>
    <row r="84" spans="1:21">
      <c r="A84" s="332" t="s">
        <v>336</v>
      </c>
      <c r="D84" s="334" t="s">
        <v>247</v>
      </c>
      <c r="E84" s="343">
        <v>2.0099999999999998</v>
      </c>
      <c r="F84" s="343">
        <v>3.37</v>
      </c>
      <c r="G84" s="344">
        <v>2.69</v>
      </c>
      <c r="H84" s="345">
        <v>6.42</v>
      </c>
      <c r="I84" s="345">
        <v>7.4700000000000006</v>
      </c>
      <c r="J84" s="345">
        <v>1.7599999999999998</v>
      </c>
      <c r="K84" s="345">
        <v>7.63</v>
      </c>
      <c r="L84" s="346">
        <v>5.6829999999999989</v>
      </c>
      <c r="M84" s="347">
        <v>5.32</v>
      </c>
      <c r="N84" s="347">
        <v>6.67</v>
      </c>
      <c r="O84" s="347">
        <v>4.8</v>
      </c>
      <c r="P84" s="348">
        <v>5.5966666666666667</v>
      </c>
      <c r="Q84" s="349">
        <v>4.6565555555555553</v>
      </c>
      <c r="R84" s="350">
        <v>2</v>
      </c>
      <c r="S84" s="350">
        <v>6.2</v>
      </c>
      <c r="T84" s="350">
        <v>3.8</v>
      </c>
      <c r="U84" s="350">
        <v>4.3909000000000002</v>
      </c>
    </row>
    <row r="85" spans="1:21">
      <c r="A85" s="332" t="s">
        <v>337</v>
      </c>
      <c r="D85" s="334" t="s">
        <v>247</v>
      </c>
      <c r="E85" s="343">
        <v>2.1399999999999997</v>
      </c>
      <c r="F85" s="343">
        <v>1.1500000000000004</v>
      </c>
      <c r="G85" s="344">
        <v>1.645</v>
      </c>
      <c r="H85" s="345">
        <v>5.23</v>
      </c>
      <c r="I85" s="345">
        <v>6.68</v>
      </c>
      <c r="J85" s="345">
        <v>3.8200000000000003</v>
      </c>
      <c r="K85" s="345">
        <v>6.49</v>
      </c>
      <c r="L85" s="346">
        <v>5.4480000000000004</v>
      </c>
      <c r="M85" s="347">
        <v>4.58</v>
      </c>
      <c r="N85" s="347">
        <v>6.02</v>
      </c>
      <c r="O85" s="347">
        <v>7.76</v>
      </c>
      <c r="P85" s="348">
        <v>6.12</v>
      </c>
      <c r="Q85" s="349">
        <v>4.4043333333333337</v>
      </c>
      <c r="R85" s="350">
        <v>4.2</v>
      </c>
      <c r="S85" s="350">
        <v>6.2</v>
      </c>
      <c r="T85" s="350">
        <v>5.7</v>
      </c>
      <c r="U85" s="350">
        <v>4.3838999999999997</v>
      </c>
    </row>
    <row r="86" spans="1:21">
      <c r="A86" s="332" t="s">
        <v>338</v>
      </c>
      <c r="D86" s="334" t="s">
        <v>251</v>
      </c>
      <c r="E86" s="343">
        <v>3.4000000000000004</v>
      </c>
      <c r="F86" s="343">
        <v>3.1799999999999997</v>
      </c>
      <c r="G86" s="344">
        <v>3.29</v>
      </c>
      <c r="H86" s="345">
        <v>5.05</v>
      </c>
      <c r="I86" s="345">
        <v>5.43</v>
      </c>
      <c r="J86" s="345">
        <v>1.1999999999999993</v>
      </c>
      <c r="K86" s="345">
        <v>2.6100000000000003</v>
      </c>
      <c r="L86" s="346">
        <v>4.0984999999999996</v>
      </c>
      <c r="M86" s="347">
        <v>8.68</v>
      </c>
      <c r="N86" s="347">
        <v>6.26</v>
      </c>
      <c r="O86" s="347">
        <v>4.57</v>
      </c>
      <c r="P86" s="348">
        <v>6.503333333333333</v>
      </c>
      <c r="Q86" s="349">
        <v>4.6306111111111106</v>
      </c>
      <c r="R86" s="350">
        <v>2</v>
      </c>
      <c r="S86" s="350">
        <v>3.1</v>
      </c>
      <c r="T86" s="350">
        <v>3.2</v>
      </c>
      <c r="U86" s="350">
        <v>4.3675499999999996</v>
      </c>
    </row>
    <row r="87" spans="1:21">
      <c r="A87" s="332" t="s">
        <v>339</v>
      </c>
      <c r="D87" s="334" t="s">
        <v>268</v>
      </c>
      <c r="E87" s="343">
        <v>6.79</v>
      </c>
      <c r="F87" s="343">
        <v>3.01</v>
      </c>
      <c r="G87" s="344">
        <v>4.9000000000000004</v>
      </c>
      <c r="H87" s="345">
        <v>2.71</v>
      </c>
      <c r="I87" s="345">
        <v>4.1399999999999997</v>
      </c>
      <c r="J87" s="345">
        <v>1.8900000000000006</v>
      </c>
      <c r="K87" s="345">
        <v>3.9000000000000004</v>
      </c>
      <c r="L87" s="346">
        <v>3.0649999999999999</v>
      </c>
      <c r="M87" s="347">
        <v>4.2300000000000004</v>
      </c>
      <c r="N87" s="347">
        <v>6.25</v>
      </c>
      <c r="O87" s="347">
        <v>3.3899999999999997</v>
      </c>
      <c r="P87" s="348">
        <v>4.623333333333334</v>
      </c>
      <c r="Q87" s="349">
        <v>4.1961111111111116</v>
      </c>
      <c r="R87" s="350">
        <v>5.3000000000000007</v>
      </c>
      <c r="S87" s="350">
        <v>8.6999999999999993</v>
      </c>
      <c r="T87" s="350">
        <v>6.2</v>
      </c>
      <c r="U87" s="350">
        <v>4.3065000000000007</v>
      </c>
    </row>
    <row r="88" spans="1:21">
      <c r="A88" s="332" t="s">
        <v>340</v>
      </c>
      <c r="D88" s="334" t="s">
        <v>251</v>
      </c>
      <c r="E88" s="343">
        <v>4.59</v>
      </c>
      <c r="F88" s="343">
        <v>4.58</v>
      </c>
      <c r="G88" s="344">
        <v>4.585</v>
      </c>
      <c r="H88" s="345">
        <v>3.13</v>
      </c>
      <c r="I88" s="345">
        <v>5.93</v>
      </c>
      <c r="J88" s="345">
        <v>3.6500000000000004</v>
      </c>
      <c r="K88" s="345">
        <v>3.25</v>
      </c>
      <c r="L88" s="346">
        <v>4.2459999999999996</v>
      </c>
      <c r="M88" s="347">
        <v>4.22</v>
      </c>
      <c r="N88" s="347">
        <v>6.8100000000000005</v>
      </c>
      <c r="O88" s="347">
        <v>2.83</v>
      </c>
      <c r="P88" s="348">
        <v>4.62</v>
      </c>
      <c r="Q88" s="349">
        <v>4.4836666666666671</v>
      </c>
      <c r="R88" s="350">
        <v>2.6666666666666665</v>
      </c>
      <c r="S88" s="350">
        <v>8.6999999999999993</v>
      </c>
      <c r="T88" s="350">
        <v>6.2</v>
      </c>
      <c r="U88" s="350">
        <v>4.3019666666666661</v>
      </c>
    </row>
    <row r="89" spans="1:21">
      <c r="A89" s="332" t="s">
        <v>341</v>
      </c>
      <c r="D89" s="334" t="s">
        <v>251</v>
      </c>
      <c r="E89" s="343">
        <v>3.74</v>
      </c>
      <c r="F89" s="343">
        <v>4.88</v>
      </c>
      <c r="G89" s="344">
        <v>4.3100000000000005</v>
      </c>
      <c r="H89" s="345">
        <v>2.0700000000000003</v>
      </c>
      <c r="I89" s="345">
        <v>3.34</v>
      </c>
      <c r="J89" s="345">
        <v>4.6900000000000004</v>
      </c>
      <c r="K89" s="345">
        <v>2.6399999999999997</v>
      </c>
      <c r="L89" s="346">
        <v>3.198</v>
      </c>
      <c r="M89" s="347">
        <v>5.84</v>
      </c>
      <c r="N89" s="347">
        <v>5.78</v>
      </c>
      <c r="O89" s="347">
        <v>3.75</v>
      </c>
      <c r="P89" s="348">
        <v>5.123333333333334</v>
      </c>
      <c r="Q89" s="349">
        <v>4.2104444444444447</v>
      </c>
      <c r="R89" s="350">
        <v>4.8666666666666671</v>
      </c>
      <c r="S89" s="350">
        <v>9.6999999999999993</v>
      </c>
      <c r="T89" s="350">
        <v>7.4</v>
      </c>
      <c r="U89" s="350">
        <v>4.2760666666666669</v>
      </c>
    </row>
    <row r="90" spans="1:21">
      <c r="A90" s="332" t="s">
        <v>342</v>
      </c>
      <c r="D90" s="334" t="s">
        <v>249</v>
      </c>
      <c r="E90" s="343">
        <v>1.8800000000000008</v>
      </c>
      <c r="F90" s="343">
        <v>3.25</v>
      </c>
      <c r="G90" s="344">
        <v>2.5650000000000004</v>
      </c>
      <c r="H90" s="345">
        <v>5.73</v>
      </c>
      <c r="I90" s="345">
        <v>4.95</v>
      </c>
      <c r="J90" s="345">
        <v>3.9800000000000004</v>
      </c>
      <c r="K90" s="345">
        <v>5.6</v>
      </c>
      <c r="L90" s="346">
        <v>5.0130000000000008</v>
      </c>
      <c r="M90" s="347">
        <v>6.0600000000000005</v>
      </c>
      <c r="N90" s="347">
        <v>5.45</v>
      </c>
      <c r="O90" s="347">
        <v>6</v>
      </c>
      <c r="P90" s="348">
        <v>5.8366666666666669</v>
      </c>
      <c r="Q90" s="349">
        <v>4.4715555555555566</v>
      </c>
      <c r="R90" s="350">
        <v>1.6666666666666667</v>
      </c>
      <c r="S90" s="350">
        <v>1</v>
      </c>
      <c r="T90" s="350">
        <v>2</v>
      </c>
      <c r="U90" s="350">
        <v>4.1910666666666678</v>
      </c>
    </row>
    <row r="91" spans="1:21">
      <c r="A91" s="332" t="s">
        <v>343</v>
      </c>
      <c r="C91" s="334" t="s">
        <v>344</v>
      </c>
      <c r="D91" s="334" t="s">
        <v>256</v>
      </c>
      <c r="E91" s="343">
        <v>4.17</v>
      </c>
      <c r="F91" s="343">
        <v>2.9400000000000004</v>
      </c>
      <c r="G91" s="344">
        <v>3.5550000000000002</v>
      </c>
      <c r="H91" s="345">
        <v>3.5300000000000002</v>
      </c>
      <c r="I91" s="345">
        <v>4.34</v>
      </c>
      <c r="J91" s="345">
        <v>1.3800000000000008</v>
      </c>
      <c r="K91" s="345">
        <v>2.25</v>
      </c>
      <c r="L91" s="346">
        <v>3.2120000000000002</v>
      </c>
      <c r="M91" s="347">
        <v>7.41</v>
      </c>
      <c r="N91" s="347">
        <v>7.29</v>
      </c>
      <c r="O91" s="347">
        <v>4.75</v>
      </c>
      <c r="P91" s="348">
        <v>6.4833333333333334</v>
      </c>
      <c r="Q91" s="349">
        <v>4.4167777777777779</v>
      </c>
      <c r="R91" s="350">
        <v>2</v>
      </c>
      <c r="S91" s="350">
        <v>6.2</v>
      </c>
      <c r="T91" s="350">
        <v>3.8</v>
      </c>
      <c r="U91" s="350">
        <v>4.1750999999999996</v>
      </c>
    </row>
    <row r="92" spans="1:21">
      <c r="A92" s="332" t="s">
        <v>345</v>
      </c>
      <c r="C92" s="334" t="s">
        <v>344</v>
      </c>
      <c r="D92" s="334" t="s">
        <v>251</v>
      </c>
      <c r="E92" s="343">
        <v>4.62</v>
      </c>
      <c r="F92" s="343">
        <v>3.25</v>
      </c>
      <c r="G92" s="344">
        <v>3.9350000000000001</v>
      </c>
      <c r="H92" s="345">
        <v>4.58</v>
      </c>
      <c r="I92" s="345">
        <v>4.5</v>
      </c>
      <c r="J92" s="345">
        <v>1.2899999999999991</v>
      </c>
      <c r="K92" s="345">
        <v>2.41</v>
      </c>
      <c r="L92" s="346">
        <v>3.6209999999999996</v>
      </c>
      <c r="M92" s="347">
        <v>6.55</v>
      </c>
      <c r="N92" s="347">
        <v>6.16</v>
      </c>
      <c r="O92" s="347">
        <v>3.42</v>
      </c>
      <c r="P92" s="348">
        <v>5.3766666666666678</v>
      </c>
      <c r="Q92" s="349">
        <v>4.310888888888889</v>
      </c>
      <c r="R92" s="350">
        <v>2.6666666666666665</v>
      </c>
      <c r="S92" s="350">
        <v>0.2</v>
      </c>
      <c r="T92" s="350">
        <v>4.5</v>
      </c>
      <c r="U92" s="350">
        <v>4.146466666666667</v>
      </c>
    </row>
    <row r="93" spans="1:21">
      <c r="A93" s="332" t="s">
        <v>346</v>
      </c>
      <c r="D93" s="334" t="s">
        <v>268</v>
      </c>
      <c r="E93" s="343">
        <v>5.83</v>
      </c>
      <c r="F93" s="343">
        <v>4.5</v>
      </c>
      <c r="G93" s="344">
        <v>5.165</v>
      </c>
      <c r="H93" s="345">
        <v>3.0199999999999996</v>
      </c>
      <c r="I93" s="345">
        <v>3.24</v>
      </c>
      <c r="J93" s="345">
        <v>1.6099999999999994</v>
      </c>
      <c r="K93" s="345">
        <v>2.6799999999999997</v>
      </c>
      <c r="L93" s="346">
        <v>2.7274999999999996</v>
      </c>
      <c r="M93" s="347">
        <v>7.2</v>
      </c>
      <c r="N93" s="347">
        <v>5.38</v>
      </c>
      <c r="O93" s="347">
        <v>3.17</v>
      </c>
      <c r="P93" s="348">
        <v>5.25</v>
      </c>
      <c r="Q93" s="349">
        <v>4.3808333333333334</v>
      </c>
      <c r="R93" s="350">
        <v>1.6666666666666667</v>
      </c>
      <c r="S93" s="350">
        <v>7.6</v>
      </c>
      <c r="T93" s="350">
        <v>3.3</v>
      </c>
      <c r="U93" s="350">
        <v>4.1094166666666663</v>
      </c>
    </row>
    <row r="94" spans="1:21">
      <c r="A94" s="332" t="s">
        <v>347</v>
      </c>
      <c r="D94" s="334" t="s">
        <v>256</v>
      </c>
      <c r="E94" s="343">
        <v>1.6400000000000006</v>
      </c>
      <c r="F94" s="343">
        <v>1.4299999999999997</v>
      </c>
      <c r="G94" s="344">
        <v>1.5350000000000001</v>
      </c>
      <c r="H94" s="345">
        <v>4.43</v>
      </c>
      <c r="I94" s="345">
        <v>6.68</v>
      </c>
      <c r="J94" s="345">
        <v>0.91000000000000014</v>
      </c>
      <c r="K94" s="345">
        <v>6.2200000000000006</v>
      </c>
      <c r="L94" s="346">
        <v>4.4269999999999996</v>
      </c>
      <c r="M94" s="347">
        <v>5.03</v>
      </c>
      <c r="N94" s="347">
        <v>6.8599999999999994</v>
      </c>
      <c r="O94" s="347">
        <v>5.87</v>
      </c>
      <c r="P94" s="348">
        <v>5.9200000000000008</v>
      </c>
      <c r="Q94" s="349">
        <v>3.960666666666667</v>
      </c>
      <c r="R94" s="350">
        <v>4.8666666666666671</v>
      </c>
      <c r="S94" s="350">
        <v>8.6999999999999993</v>
      </c>
      <c r="T94" s="350">
        <v>8</v>
      </c>
      <c r="U94" s="350">
        <v>4.0512666666666668</v>
      </c>
    </row>
    <row r="95" spans="1:21">
      <c r="A95" s="332" t="s">
        <v>348</v>
      </c>
      <c r="D95" s="334" t="s">
        <v>251</v>
      </c>
      <c r="E95" s="343">
        <v>2.95</v>
      </c>
      <c r="F95" s="343">
        <v>3.24</v>
      </c>
      <c r="G95" s="344">
        <v>3.0950000000000002</v>
      </c>
      <c r="H95" s="345">
        <v>5.66</v>
      </c>
      <c r="I95" s="345">
        <v>4.3099999999999996</v>
      </c>
      <c r="J95" s="345">
        <v>1.4000000000000004</v>
      </c>
      <c r="K95" s="345">
        <v>6.35</v>
      </c>
      <c r="L95" s="346">
        <v>4.157</v>
      </c>
      <c r="M95" s="347">
        <v>5.09</v>
      </c>
      <c r="N95" s="347">
        <v>6.27</v>
      </c>
      <c r="O95" s="347">
        <v>4.97</v>
      </c>
      <c r="P95" s="348">
        <v>5.4433333333333325</v>
      </c>
      <c r="Q95" s="349">
        <v>4.2317777777777783</v>
      </c>
      <c r="R95" s="350">
        <v>2.3333333333333335</v>
      </c>
      <c r="S95" s="350">
        <v>8.6999999999999993</v>
      </c>
      <c r="T95" s="350">
        <v>5.3</v>
      </c>
      <c r="U95" s="350">
        <v>4.0419333333333327</v>
      </c>
    </row>
    <row r="96" spans="1:21">
      <c r="A96" s="332" t="s">
        <v>349</v>
      </c>
      <c r="C96" s="334" t="s">
        <v>263</v>
      </c>
      <c r="D96" s="334" t="s">
        <v>247</v>
      </c>
      <c r="E96" s="343">
        <v>3.1900000000000004</v>
      </c>
      <c r="F96" s="343">
        <v>3.21</v>
      </c>
      <c r="G96" s="344">
        <v>3.2</v>
      </c>
      <c r="H96" s="345">
        <v>6.59</v>
      </c>
      <c r="I96" s="345">
        <v>4.9800000000000004</v>
      </c>
      <c r="J96" s="345">
        <v>1.2599999999999998</v>
      </c>
      <c r="K96" s="345">
        <v>4.67</v>
      </c>
      <c r="L96" s="346">
        <v>4.5979999999999999</v>
      </c>
      <c r="M96" s="347">
        <v>2.04</v>
      </c>
      <c r="N96" s="347">
        <v>5.57</v>
      </c>
      <c r="O96" s="347">
        <v>5.58</v>
      </c>
      <c r="P96" s="348">
        <v>4.3966666666666674</v>
      </c>
      <c r="Q96" s="349">
        <v>4.0648888888888886</v>
      </c>
      <c r="R96" s="350">
        <v>3.3333333333333335</v>
      </c>
      <c r="S96" s="350">
        <v>8.6999999999999993</v>
      </c>
      <c r="T96" s="350">
        <v>8</v>
      </c>
      <c r="U96" s="350">
        <v>3.9917333333333338</v>
      </c>
    </row>
    <row r="97" spans="1:21">
      <c r="A97" s="332" t="s">
        <v>350</v>
      </c>
      <c r="D97" s="334" t="s">
        <v>256</v>
      </c>
      <c r="E97" s="343">
        <v>4.5999999999999996</v>
      </c>
      <c r="F97" s="343">
        <v>1.3699999999999992</v>
      </c>
      <c r="G97" s="344">
        <v>2.9849999999999994</v>
      </c>
      <c r="H97" s="345">
        <v>3.5999999999999996</v>
      </c>
      <c r="I97" s="345">
        <v>4.8499999999999996</v>
      </c>
      <c r="J97" s="345">
        <v>1.7699999999999996</v>
      </c>
      <c r="K97" s="345">
        <v>5.33</v>
      </c>
      <c r="L97" s="346">
        <v>3.6664999999999996</v>
      </c>
      <c r="M97" s="347">
        <v>4.8</v>
      </c>
      <c r="N97" s="347">
        <v>6.92</v>
      </c>
      <c r="O97" s="347">
        <v>6.8100000000000005</v>
      </c>
      <c r="P97" s="348">
        <v>6.1766666666666667</v>
      </c>
      <c r="Q97" s="349">
        <v>4.2760555555555548</v>
      </c>
      <c r="R97" s="350">
        <v>1.3333333333333333</v>
      </c>
      <c r="S97" s="350">
        <v>9.6999999999999993</v>
      </c>
      <c r="T97" s="350">
        <v>3.1</v>
      </c>
      <c r="U97" s="350">
        <v>3.981783333333333</v>
      </c>
    </row>
    <row r="98" spans="1:21">
      <c r="A98" s="332" t="s">
        <v>351</v>
      </c>
      <c r="D98" s="334" t="s">
        <v>268</v>
      </c>
      <c r="E98" s="343">
        <v>2.87</v>
      </c>
      <c r="F98" s="343">
        <v>4.08</v>
      </c>
      <c r="G98" s="344">
        <v>3.4750000000000001</v>
      </c>
      <c r="H98" s="345">
        <v>3.84</v>
      </c>
      <c r="I98" s="345">
        <v>4.5</v>
      </c>
      <c r="J98" s="345">
        <v>1.7100000000000009</v>
      </c>
      <c r="K98" s="345">
        <v>4.54</v>
      </c>
      <c r="L98" s="346">
        <v>3.5734999999999997</v>
      </c>
      <c r="M98" s="347">
        <v>4.7</v>
      </c>
      <c r="N98" s="347">
        <v>6.54</v>
      </c>
      <c r="O98" s="347">
        <v>5.04</v>
      </c>
      <c r="P98" s="348">
        <v>5.4266666666666667</v>
      </c>
      <c r="Q98" s="349">
        <v>4.1583888888888891</v>
      </c>
      <c r="R98" s="350">
        <v>1</v>
      </c>
      <c r="S98" s="350">
        <v>1.8</v>
      </c>
      <c r="T98" s="350">
        <v>1</v>
      </c>
      <c r="U98" s="350">
        <v>3.8425499999999997</v>
      </c>
    </row>
    <row r="99" spans="1:21">
      <c r="A99" s="332" t="s">
        <v>352</v>
      </c>
      <c r="D99" s="334" t="s">
        <v>268</v>
      </c>
      <c r="E99" s="343">
        <v>6.62</v>
      </c>
      <c r="F99" s="343">
        <v>2.4900000000000002</v>
      </c>
      <c r="G99" s="344">
        <v>4.5549999999999997</v>
      </c>
      <c r="H99" s="345">
        <v>3.24</v>
      </c>
      <c r="I99" s="345">
        <v>4.22</v>
      </c>
      <c r="J99" s="345">
        <v>1.7599999999999998</v>
      </c>
      <c r="K99" s="345">
        <v>2.9000000000000004</v>
      </c>
      <c r="L99" s="346">
        <v>3.1959999999999997</v>
      </c>
      <c r="M99" s="347">
        <v>4.22</v>
      </c>
      <c r="N99" s="347">
        <v>6.79</v>
      </c>
      <c r="O99" s="347">
        <v>2.3099999999999996</v>
      </c>
      <c r="P99" s="348">
        <v>4.4400000000000004</v>
      </c>
      <c r="Q99" s="349">
        <v>4.0636666666666663</v>
      </c>
      <c r="R99" s="350">
        <v>1.6666666666666667</v>
      </c>
      <c r="S99" s="350">
        <v>8.6999999999999993</v>
      </c>
      <c r="T99" s="350">
        <v>3.5</v>
      </c>
      <c r="U99" s="350">
        <v>3.8239666666666658</v>
      </c>
    </row>
    <row r="100" spans="1:21">
      <c r="A100" s="332" t="s">
        <v>353</v>
      </c>
      <c r="D100" s="334" t="s">
        <v>247</v>
      </c>
      <c r="E100" s="343">
        <v>2.1799999999999997</v>
      </c>
      <c r="F100" s="343">
        <v>1.58</v>
      </c>
      <c r="G100" s="344">
        <v>1.88</v>
      </c>
      <c r="H100" s="345">
        <v>5.45</v>
      </c>
      <c r="I100" s="345">
        <v>7.01</v>
      </c>
      <c r="J100" s="345">
        <v>3.25</v>
      </c>
      <c r="K100" s="345">
        <v>5.04</v>
      </c>
      <c r="L100" s="346">
        <v>5.4254999999999995</v>
      </c>
      <c r="M100" s="347">
        <v>4.0599999999999996</v>
      </c>
      <c r="N100" s="347">
        <v>5.15</v>
      </c>
      <c r="O100" s="347">
        <v>5.38</v>
      </c>
      <c r="P100" s="348">
        <v>4.8633333333333333</v>
      </c>
      <c r="Q100" s="349">
        <v>4.056277777777777</v>
      </c>
      <c r="R100" s="350">
        <v>1.6666666666666667</v>
      </c>
      <c r="S100" s="350">
        <v>3.1</v>
      </c>
      <c r="T100" s="350">
        <v>2.4</v>
      </c>
      <c r="U100" s="350">
        <v>3.8173166666666662</v>
      </c>
    </row>
    <row r="101" spans="1:21">
      <c r="A101" s="332" t="s">
        <v>354</v>
      </c>
      <c r="D101" s="334" t="s">
        <v>251</v>
      </c>
      <c r="E101" s="343">
        <v>2.17</v>
      </c>
      <c r="F101" s="343">
        <v>5.16</v>
      </c>
      <c r="G101" s="344">
        <v>3.665</v>
      </c>
      <c r="H101" s="345">
        <v>3.1500000000000004</v>
      </c>
      <c r="I101" s="345">
        <v>3.33</v>
      </c>
      <c r="J101" s="345">
        <v>1.1099999999999994</v>
      </c>
      <c r="K101" s="345">
        <v>4.22</v>
      </c>
      <c r="L101" s="346">
        <v>2.7564999999999995</v>
      </c>
      <c r="M101" s="347">
        <v>6.21</v>
      </c>
      <c r="N101" s="347">
        <v>5.9</v>
      </c>
      <c r="O101" s="347">
        <v>3.25</v>
      </c>
      <c r="P101" s="348">
        <v>5.12</v>
      </c>
      <c r="Q101" s="349">
        <v>3.8471666666666664</v>
      </c>
      <c r="R101" s="350">
        <v>3.1</v>
      </c>
      <c r="S101" s="350">
        <v>8.6999999999999993</v>
      </c>
      <c r="T101" s="350">
        <v>5.3</v>
      </c>
      <c r="U101" s="350">
        <v>3.7724499999999996</v>
      </c>
    </row>
    <row r="102" spans="1:21">
      <c r="A102" s="332" t="s">
        <v>355</v>
      </c>
      <c r="D102" s="334" t="s">
        <v>251</v>
      </c>
      <c r="E102" s="343">
        <v>1.5099999999999998</v>
      </c>
      <c r="F102" s="343">
        <v>4.1900000000000004</v>
      </c>
      <c r="G102" s="344">
        <v>2.85</v>
      </c>
      <c r="H102" s="345">
        <v>2.9299999999999997</v>
      </c>
      <c r="I102" s="345">
        <v>3.6500000000000004</v>
      </c>
      <c r="J102" s="345">
        <v>5.63</v>
      </c>
      <c r="K102" s="345">
        <v>3.66</v>
      </c>
      <c r="L102" s="346">
        <v>3.8934999999999995</v>
      </c>
      <c r="M102" s="347">
        <v>4.84</v>
      </c>
      <c r="N102" s="347">
        <v>6.8599999999999994</v>
      </c>
      <c r="O102" s="347">
        <v>3</v>
      </c>
      <c r="P102" s="348">
        <v>4.8999999999999995</v>
      </c>
      <c r="Q102" s="349">
        <v>3.8811666666666667</v>
      </c>
      <c r="R102" s="350">
        <v>2.6666666666666665</v>
      </c>
      <c r="S102" s="350">
        <v>4.5999999999999996</v>
      </c>
      <c r="T102" s="350">
        <v>5.4</v>
      </c>
      <c r="U102" s="350">
        <v>3.7597166666666659</v>
      </c>
    </row>
    <row r="103" spans="1:21">
      <c r="A103" s="332" t="s">
        <v>356</v>
      </c>
      <c r="D103" s="334" t="s">
        <v>268</v>
      </c>
      <c r="E103" s="343">
        <v>5.42</v>
      </c>
      <c r="F103" s="343">
        <v>2.21</v>
      </c>
      <c r="G103" s="344">
        <v>3.8149999999999999</v>
      </c>
      <c r="H103" s="345">
        <v>2.74</v>
      </c>
      <c r="I103" s="345">
        <v>2.0499999999999998</v>
      </c>
      <c r="J103" s="345">
        <v>1.7200000000000006</v>
      </c>
      <c r="K103" s="345">
        <v>3.6500000000000004</v>
      </c>
      <c r="L103" s="346">
        <v>2.2890000000000001</v>
      </c>
      <c r="M103" s="347">
        <v>7.6899999999999995</v>
      </c>
      <c r="N103" s="347">
        <v>6.16</v>
      </c>
      <c r="O103" s="347">
        <v>3.75</v>
      </c>
      <c r="P103" s="348">
        <v>5.8666666666666671</v>
      </c>
      <c r="Q103" s="349">
        <v>3.9902222222222221</v>
      </c>
      <c r="R103" s="350">
        <v>1.3333333333333333</v>
      </c>
      <c r="S103" s="350">
        <v>8.6999999999999993</v>
      </c>
      <c r="T103" s="350">
        <v>2.9</v>
      </c>
      <c r="U103" s="350">
        <v>3.724533333333333</v>
      </c>
    </row>
    <row r="104" spans="1:21">
      <c r="A104" s="332" t="s">
        <v>357</v>
      </c>
      <c r="C104" s="334" t="s">
        <v>265</v>
      </c>
      <c r="D104" s="334" t="s">
        <v>268</v>
      </c>
      <c r="E104" s="343">
        <v>7.02</v>
      </c>
      <c r="F104" s="343">
        <v>2.76</v>
      </c>
      <c r="G104" s="344">
        <v>4.8899999999999997</v>
      </c>
      <c r="H104" s="345">
        <v>2.4900000000000002</v>
      </c>
      <c r="I104" s="345">
        <v>2.33</v>
      </c>
      <c r="J104" s="345">
        <v>1.42</v>
      </c>
      <c r="K104" s="345">
        <v>2.5099999999999998</v>
      </c>
      <c r="L104" s="346">
        <v>2.1675</v>
      </c>
      <c r="M104" s="347">
        <v>4.2300000000000004</v>
      </c>
      <c r="N104" s="347">
        <v>5.21</v>
      </c>
      <c r="O104" s="347">
        <v>2.8600000000000003</v>
      </c>
      <c r="P104" s="348">
        <v>4.1000000000000005</v>
      </c>
      <c r="Q104" s="349">
        <v>3.7191666666666663</v>
      </c>
      <c r="R104" s="350">
        <v>3.7666666666666666</v>
      </c>
      <c r="S104" s="350">
        <v>4.5999999999999996</v>
      </c>
      <c r="T104" s="350">
        <v>6.4</v>
      </c>
      <c r="U104" s="350">
        <v>3.7239166666666668</v>
      </c>
    </row>
    <row r="105" spans="1:21">
      <c r="A105" s="332" t="s">
        <v>358</v>
      </c>
      <c r="D105" s="334" t="s">
        <v>268</v>
      </c>
      <c r="E105" s="343">
        <v>2.25</v>
      </c>
      <c r="F105" s="343">
        <v>2.17</v>
      </c>
      <c r="G105" s="344">
        <v>2.21</v>
      </c>
      <c r="H105" s="345">
        <v>4.04</v>
      </c>
      <c r="I105" s="345">
        <v>5.62</v>
      </c>
      <c r="J105" s="345">
        <v>1.4399999999999995</v>
      </c>
      <c r="K105" s="345">
        <v>3.0199999999999996</v>
      </c>
      <c r="L105" s="346">
        <v>3.8919999999999995</v>
      </c>
      <c r="M105" s="347">
        <v>5.01</v>
      </c>
      <c r="N105" s="347">
        <v>7.2799999999999994</v>
      </c>
      <c r="O105" s="347">
        <v>4.49</v>
      </c>
      <c r="P105" s="348">
        <v>5.5933333333333337</v>
      </c>
      <c r="Q105" s="349">
        <v>3.8984444444444448</v>
      </c>
      <c r="R105" s="350">
        <v>1.3333333333333333</v>
      </c>
      <c r="S105" s="350">
        <v>4.5999999999999996</v>
      </c>
      <c r="T105" s="350">
        <v>2.1</v>
      </c>
      <c r="U105" s="350">
        <v>3.6419333333333328</v>
      </c>
    </row>
    <row r="106" spans="1:21">
      <c r="A106" s="332" t="s">
        <v>425</v>
      </c>
      <c r="D106" s="334" t="s">
        <v>256</v>
      </c>
      <c r="E106" s="343">
        <v>0.92999999999999972</v>
      </c>
      <c r="F106" s="343">
        <v>0.36999999999999922</v>
      </c>
      <c r="G106" s="344">
        <v>0.64999999999999947</v>
      </c>
      <c r="H106" s="345">
        <v>4.5</v>
      </c>
      <c r="I106" s="345">
        <v>6.26</v>
      </c>
      <c r="J106" s="345">
        <v>1.6400000000000006</v>
      </c>
      <c r="K106" s="345">
        <v>3.74</v>
      </c>
      <c r="L106" s="346">
        <v>4.3630000000000004</v>
      </c>
      <c r="M106" s="347">
        <v>4.7</v>
      </c>
      <c r="N106" s="347">
        <v>8.4700000000000006</v>
      </c>
      <c r="O106" s="347">
        <v>6.3900000000000006</v>
      </c>
      <c r="P106" s="348">
        <v>6.5200000000000005</v>
      </c>
      <c r="Q106" s="349">
        <v>3.8443333333333336</v>
      </c>
      <c r="R106" s="350">
        <v>1.3333333333333333</v>
      </c>
      <c r="S106" s="350">
        <v>0.2</v>
      </c>
      <c r="T106" s="350">
        <v>1.2</v>
      </c>
      <c r="U106" s="350">
        <v>3.5932333333333335</v>
      </c>
    </row>
    <row r="107" spans="1:21">
      <c r="A107" s="332" t="s">
        <v>360</v>
      </c>
      <c r="C107" s="334" t="s">
        <v>263</v>
      </c>
      <c r="D107" s="334" t="s">
        <v>268</v>
      </c>
      <c r="E107" s="343">
        <v>4.28</v>
      </c>
      <c r="F107" s="343">
        <v>1.7100000000000009</v>
      </c>
      <c r="G107" s="344">
        <v>2.9950000000000006</v>
      </c>
      <c r="H107" s="345">
        <v>2.9400000000000004</v>
      </c>
      <c r="I107" s="345">
        <v>3.8</v>
      </c>
      <c r="J107" s="345">
        <v>2.92</v>
      </c>
      <c r="K107" s="345">
        <v>3.6799999999999997</v>
      </c>
      <c r="L107" s="346">
        <v>3.2730000000000001</v>
      </c>
      <c r="M107" s="347">
        <v>3.96</v>
      </c>
      <c r="N107" s="347">
        <v>6.12</v>
      </c>
      <c r="O107" s="347">
        <v>3.17</v>
      </c>
      <c r="P107" s="348">
        <v>4.416666666666667</v>
      </c>
      <c r="Q107" s="349">
        <v>3.561555555555556</v>
      </c>
      <c r="R107" s="350">
        <v>3</v>
      </c>
      <c r="S107" s="350">
        <v>1.8</v>
      </c>
      <c r="T107" s="350">
        <v>5.8</v>
      </c>
      <c r="U107" s="350">
        <v>3.5053999999999998</v>
      </c>
    </row>
    <row r="108" spans="1:21">
      <c r="A108" s="332" t="s">
        <v>361</v>
      </c>
      <c r="D108" s="334" t="s">
        <v>256</v>
      </c>
      <c r="E108" s="343">
        <v>0.58999999999999986</v>
      </c>
      <c r="F108" s="343">
        <v>0.40000000000000036</v>
      </c>
      <c r="G108" s="344">
        <v>0.49500000000000011</v>
      </c>
      <c r="H108" s="345">
        <v>4.26</v>
      </c>
      <c r="I108" s="345">
        <v>6.26</v>
      </c>
      <c r="J108" s="345">
        <v>1.6300000000000008</v>
      </c>
      <c r="K108" s="345">
        <v>3.49</v>
      </c>
      <c r="L108" s="346">
        <v>4.2639999999999993</v>
      </c>
      <c r="M108" s="347">
        <v>5.87</v>
      </c>
      <c r="N108" s="347">
        <v>8.02</v>
      </c>
      <c r="O108" s="347">
        <v>6.3</v>
      </c>
      <c r="P108" s="348">
        <v>6.73</v>
      </c>
      <c r="Q108" s="349">
        <v>3.8296666666666668</v>
      </c>
      <c r="R108" s="350">
        <v>0.33333333333333331</v>
      </c>
      <c r="S108" s="350">
        <v>0.2</v>
      </c>
      <c r="T108" s="350">
        <v>0.2</v>
      </c>
      <c r="U108" s="350">
        <v>3.4800333333333331</v>
      </c>
    </row>
    <row r="109" spans="1:21">
      <c r="A109" s="332" t="s">
        <v>362</v>
      </c>
      <c r="D109" s="334" t="s">
        <v>256</v>
      </c>
      <c r="E109" s="343">
        <v>0.57000000000000028</v>
      </c>
      <c r="F109" s="343">
        <v>0.41999999999999993</v>
      </c>
      <c r="G109" s="344">
        <v>0.49500000000000011</v>
      </c>
      <c r="H109" s="345">
        <v>4.5599999999999996</v>
      </c>
      <c r="I109" s="345">
        <v>8.0500000000000007</v>
      </c>
      <c r="J109" s="345">
        <v>1.4100000000000001</v>
      </c>
      <c r="K109" s="345">
        <v>2.8499999999999996</v>
      </c>
      <c r="L109" s="346">
        <v>4.9085000000000001</v>
      </c>
      <c r="M109" s="347">
        <v>5.0599999999999996</v>
      </c>
      <c r="N109" s="347">
        <v>7.71</v>
      </c>
      <c r="O109" s="347">
        <v>5.47</v>
      </c>
      <c r="P109" s="348">
        <v>6.0799999999999992</v>
      </c>
      <c r="Q109" s="349">
        <v>3.827833333333333</v>
      </c>
      <c r="R109" s="350">
        <v>0.33333333333333331</v>
      </c>
      <c r="S109" s="350">
        <v>0.2</v>
      </c>
      <c r="T109" s="350">
        <v>0.2</v>
      </c>
      <c r="U109" s="350">
        <v>3.4783833333333329</v>
      </c>
    </row>
    <row r="110" spans="1:21">
      <c r="A110" s="332" t="s">
        <v>363</v>
      </c>
      <c r="D110" s="334" t="s">
        <v>256</v>
      </c>
      <c r="E110" s="343">
        <v>4.12</v>
      </c>
      <c r="F110" s="343">
        <v>2.8600000000000003</v>
      </c>
      <c r="G110" s="344">
        <v>3.49</v>
      </c>
      <c r="H110" s="345">
        <v>2.5499999999999998</v>
      </c>
      <c r="I110" s="345">
        <v>3.2699999999999996</v>
      </c>
      <c r="J110" s="345">
        <v>4.53</v>
      </c>
      <c r="K110" s="345">
        <v>1.8100000000000005</v>
      </c>
      <c r="L110" s="346">
        <v>3.2600000000000002</v>
      </c>
      <c r="M110" s="347">
        <v>4.1399999999999997</v>
      </c>
      <c r="N110" s="347">
        <v>4.3</v>
      </c>
      <c r="O110" s="347">
        <v>3.8600000000000003</v>
      </c>
      <c r="P110" s="348">
        <v>4.1000000000000005</v>
      </c>
      <c r="Q110" s="349">
        <v>3.6166666666666671</v>
      </c>
      <c r="R110" s="350">
        <v>2</v>
      </c>
      <c r="S110" s="350">
        <v>0.2</v>
      </c>
      <c r="T110" s="350">
        <v>2.6</v>
      </c>
      <c r="U110" s="350">
        <v>3.4550000000000001</v>
      </c>
    </row>
    <row r="111" spans="1:21">
      <c r="A111" s="332" t="s">
        <v>364</v>
      </c>
      <c r="D111" s="334" t="s">
        <v>256</v>
      </c>
      <c r="E111" s="343">
        <v>3.33</v>
      </c>
      <c r="F111" s="343">
        <v>1.1999999999999993</v>
      </c>
      <c r="G111" s="344">
        <v>2.2649999999999997</v>
      </c>
      <c r="H111" s="345">
        <v>2.7199999999999998</v>
      </c>
      <c r="I111" s="345">
        <v>5.16</v>
      </c>
      <c r="J111" s="345">
        <v>2.0700000000000003</v>
      </c>
      <c r="K111" s="345">
        <v>1.7300000000000004</v>
      </c>
      <c r="L111" s="346">
        <v>3.3619999999999997</v>
      </c>
      <c r="M111" s="347">
        <v>4.9800000000000004</v>
      </c>
      <c r="N111" s="347">
        <v>7.35</v>
      </c>
      <c r="O111" s="347">
        <v>4.92</v>
      </c>
      <c r="P111" s="348">
        <v>5.75</v>
      </c>
      <c r="Q111" s="349">
        <v>3.7923333333333331</v>
      </c>
      <c r="R111" s="350">
        <v>0.33333333333333331</v>
      </c>
      <c r="S111" s="350">
        <v>6.2</v>
      </c>
      <c r="T111" s="350">
        <v>1.4</v>
      </c>
      <c r="U111" s="350">
        <v>3.4464333333333332</v>
      </c>
    </row>
    <row r="112" spans="1:21">
      <c r="A112" s="332" t="s">
        <v>365</v>
      </c>
      <c r="D112" s="334" t="s">
        <v>249</v>
      </c>
      <c r="E112" s="343">
        <v>0.85999999999999943</v>
      </c>
      <c r="F112" s="343">
        <v>0.17999999999999972</v>
      </c>
      <c r="G112" s="344">
        <v>0.51999999999999957</v>
      </c>
      <c r="H112" s="345">
        <v>5.83</v>
      </c>
      <c r="I112" s="345">
        <v>4.09</v>
      </c>
      <c r="J112" s="345">
        <v>1.9399999999999995</v>
      </c>
      <c r="K112" s="345">
        <v>6.52</v>
      </c>
      <c r="L112" s="346">
        <v>4.2829999999999995</v>
      </c>
      <c r="M112" s="347">
        <v>5.13</v>
      </c>
      <c r="N112" s="347">
        <v>8.4499999999999993</v>
      </c>
      <c r="O112" s="347">
        <v>4.32</v>
      </c>
      <c r="P112" s="348">
        <v>5.9666666666666659</v>
      </c>
      <c r="Q112" s="349">
        <v>3.5898888888888885</v>
      </c>
      <c r="R112" s="350">
        <v>1.3333333333333333</v>
      </c>
      <c r="S112" s="350">
        <v>1</v>
      </c>
      <c r="T112" s="350">
        <v>1.3</v>
      </c>
      <c r="U112" s="350">
        <v>3.3642333333333325</v>
      </c>
    </row>
    <row r="113" spans="1:21">
      <c r="A113" s="332" t="s">
        <v>366</v>
      </c>
      <c r="D113" s="334" t="s">
        <v>268</v>
      </c>
      <c r="E113" s="343">
        <v>6.54</v>
      </c>
      <c r="F113" s="343">
        <v>0.47000000000000064</v>
      </c>
      <c r="G113" s="344">
        <v>3.5050000000000003</v>
      </c>
      <c r="H113" s="345">
        <v>2.17</v>
      </c>
      <c r="I113" s="345">
        <v>3.0199999999999996</v>
      </c>
      <c r="J113" s="345">
        <v>3.66</v>
      </c>
      <c r="K113" s="345">
        <v>2.3899999999999997</v>
      </c>
      <c r="L113" s="346">
        <v>2.8509999999999995</v>
      </c>
      <c r="M113" s="347">
        <v>3.16</v>
      </c>
      <c r="N113" s="347">
        <v>6.13</v>
      </c>
      <c r="O113" s="347">
        <v>3.0300000000000002</v>
      </c>
      <c r="P113" s="348">
        <v>4.1066666666666665</v>
      </c>
      <c r="Q113" s="349">
        <v>3.4875555555555557</v>
      </c>
      <c r="R113" s="350">
        <v>2</v>
      </c>
      <c r="S113" s="350">
        <v>3.1</v>
      </c>
      <c r="T113" s="350">
        <v>3.2</v>
      </c>
      <c r="U113" s="350">
        <v>3.3388</v>
      </c>
    </row>
    <row r="114" spans="1:21">
      <c r="A114" s="332" t="s">
        <v>367</v>
      </c>
      <c r="D114" s="334" t="s">
        <v>268</v>
      </c>
      <c r="E114" s="343">
        <v>3.6799999999999997</v>
      </c>
      <c r="F114" s="343">
        <v>2.76</v>
      </c>
      <c r="G114" s="344">
        <v>3.2199999999999998</v>
      </c>
      <c r="H114" s="345">
        <v>4.42</v>
      </c>
      <c r="I114" s="345">
        <v>3.2199999999999998</v>
      </c>
      <c r="J114" s="345">
        <v>1.5600000000000005</v>
      </c>
      <c r="K114" s="345">
        <v>2.8</v>
      </c>
      <c r="L114" s="346">
        <v>3.2039999999999997</v>
      </c>
      <c r="M114" s="347">
        <v>4.0599999999999996</v>
      </c>
      <c r="N114" s="347">
        <v>4.24</v>
      </c>
      <c r="O114" s="347">
        <v>4.28</v>
      </c>
      <c r="P114" s="348">
        <v>4.1933333333333342</v>
      </c>
      <c r="Q114" s="349">
        <v>3.5391111111111115</v>
      </c>
      <c r="R114" s="350">
        <v>1.3333333333333333</v>
      </c>
      <c r="S114" s="350">
        <v>1</v>
      </c>
      <c r="T114" s="350">
        <v>1.3</v>
      </c>
      <c r="U114" s="350">
        <v>3.3185333333333333</v>
      </c>
    </row>
    <row r="115" spans="1:21">
      <c r="A115" s="332" t="s">
        <v>368</v>
      </c>
      <c r="D115" s="334" t="s">
        <v>268</v>
      </c>
      <c r="E115" s="343">
        <v>2.5199999999999996</v>
      </c>
      <c r="F115" s="343">
        <v>1.6500000000000004</v>
      </c>
      <c r="G115" s="344">
        <v>2.085</v>
      </c>
      <c r="H115" s="345">
        <v>2.8099999999999996</v>
      </c>
      <c r="I115" s="345">
        <v>4.2</v>
      </c>
      <c r="J115" s="345">
        <v>2.5</v>
      </c>
      <c r="K115" s="345">
        <v>2.0700000000000003</v>
      </c>
      <c r="L115" s="346">
        <v>3.1819999999999999</v>
      </c>
      <c r="M115" s="347">
        <v>5.39</v>
      </c>
      <c r="N115" s="347">
        <v>6.63</v>
      </c>
      <c r="O115" s="347">
        <v>4.12</v>
      </c>
      <c r="P115" s="348">
        <v>5.38</v>
      </c>
      <c r="Q115" s="349">
        <v>3.5489999999999995</v>
      </c>
      <c r="R115" s="350">
        <v>1</v>
      </c>
      <c r="S115" s="350">
        <v>6.2</v>
      </c>
      <c r="T115" s="350">
        <v>1.9</v>
      </c>
      <c r="U115" s="350">
        <v>3.2940999999999998</v>
      </c>
    </row>
    <row r="116" spans="1:21">
      <c r="A116" s="332" t="s">
        <v>369</v>
      </c>
      <c r="D116" s="334" t="s">
        <v>256</v>
      </c>
      <c r="E116" s="343">
        <v>2.09</v>
      </c>
      <c r="F116" s="343">
        <v>0.46000000000000085</v>
      </c>
      <c r="G116" s="344">
        <v>1.2750000000000004</v>
      </c>
      <c r="H116" s="345">
        <v>3.63</v>
      </c>
      <c r="I116" s="345">
        <v>4.04</v>
      </c>
      <c r="J116" s="345">
        <v>2.0199999999999996</v>
      </c>
      <c r="K116" s="345">
        <v>2.4000000000000004</v>
      </c>
      <c r="L116" s="346">
        <v>3.3094999999999999</v>
      </c>
      <c r="M116" s="347">
        <v>4.53</v>
      </c>
      <c r="N116" s="347">
        <v>7.54</v>
      </c>
      <c r="O116" s="347">
        <v>5.78</v>
      </c>
      <c r="P116" s="348">
        <v>5.95</v>
      </c>
      <c r="Q116" s="349">
        <v>3.5115000000000003</v>
      </c>
      <c r="R116" s="350">
        <v>1.3333333333333333</v>
      </c>
      <c r="S116" s="350">
        <v>6.2</v>
      </c>
      <c r="T116" s="350">
        <v>2.4</v>
      </c>
      <c r="U116" s="350">
        <v>3.2936833333333335</v>
      </c>
    </row>
    <row r="117" spans="1:21">
      <c r="A117" s="332" t="s">
        <v>370</v>
      </c>
      <c r="D117" s="334" t="s">
        <v>256</v>
      </c>
      <c r="E117" s="343">
        <v>0.4399999999999995</v>
      </c>
      <c r="F117" s="343">
        <v>1.1899999999999995</v>
      </c>
      <c r="G117" s="344">
        <v>0.8149999999999995</v>
      </c>
      <c r="H117" s="345">
        <v>3.3899999999999997</v>
      </c>
      <c r="I117" s="345">
        <v>5.31</v>
      </c>
      <c r="J117" s="345">
        <v>1.6400000000000006</v>
      </c>
      <c r="K117" s="345">
        <v>5.95</v>
      </c>
      <c r="L117" s="346">
        <v>3.7524999999999999</v>
      </c>
      <c r="M117" s="347">
        <v>4.99</v>
      </c>
      <c r="N117" s="347">
        <v>8.0299999999999994</v>
      </c>
      <c r="O117" s="347">
        <v>6.2</v>
      </c>
      <c r="P117" s="348">
        <v>6.4066666666666663</v>
      </c>
      <c r="Q117" s="349">
        <v>3.6580555555555549</v>
      </c>
      <c r="R117" s="350">
        <v>0</v>
      </c>
      <c r="S117" s="350">
        <v>0.2</v>
      </c>
      <c r="T117" s="350">
        <v>0.1</v>
      </c>
      <c r="U117" s="350">
        <v>3.2922499999999997</v>
      </c>
    </row>
    <row r="118" spans="1:21">
      <c r="A118" s="332" t="s">
        <v>371</v>
      </c>
      <c r="D118" s="334" t="s">
        <v>251</v>
      </c>
      <c r="E118" s="343">
        <v>0.59999999999999964</v>
      </c>
      <c r="F118" s="343">
        <v>5</v>
      </c>
      <c r="G118" s="344">
        <v>2.8</v>
      </c>
      <c r="H118" s="345">
        <v>2.6500000000000004</v>
      </c>
      <c r="I118" s="345">
        <v>3.63</v>
      </c>
      <c r="J118" s="345">
        <v>1.33</v>
      </c>
      <c r="K118" s="345">
        <v>3.6900000000000004</v>
      </c>
      <c r="L118" s="346">
        <v>2.7149999999999999</v>
      </c>
      <c r="M118" s="347">
        <v>7.29</v>
      </c>
      <c r="N118" s="347">
        <v>3.6900000000000004</v>
      </c>
      <c r="O118" s="347">
        <v>3.12</v>
      </c>
      <c r="P118" s="348">
        <v>4.7</v>
      </c>
      <c r="Q118" s="349">
        <v>3.4049999999999998</v>
      </c>
      <c r="R118" s="350">
        <v>2</v>
      </c>
      <c r="S118" s="350">
        <v>0.2</v>
      </c>
      <c r="T118" s="350">
        <v>2.6</v>
      </c>
      <c r="U118" s="350">
        <v>3.2645</v>
      </c>
    </row>
    <row r="119" spans="1:21">
      <c r="A119" s="332" t="s">
        <v>372</v>
      </c>
      <c r="D119" s="334" t="s">
        <v>249</v>
      </c>
      <c r="E119" s="343">
        <v>2.21</v>
      </c>
      <c r="F119" s="343">
        <v>0.41999999999999993</v>
      </c>
      <c r="G119" s="344">
        <v>1.3149999999999999</v>
      </c>
      <c r="H119" s="345">
        <v>3.45</v>
      </c>
      <c r="I119" s="345">
        <v>4.96</v>
      </c>
      <c r="J119" s="345">
        <v>1.67</v>
      </c>
      <c r="K119" s="345">
        <v>5.75</v>
      </c>
      <c r="L119" s="346">
        <v>3.6485000000000003</v>
      </c>
      <c r="M119" s="347">
        <v>4.71</v>
      </c>
      <c r="N119" s="347">
        <v>7.45</v>
      </c>
      <c r="O119" s="347">
        <v>3.51</v>
      </c>
      <c r="P119" s="348">
        <v>5.2233333333333336</v>
      </c>
      <c r="Q119" s="349">
        <v>3.3956111111111107</v>
      </c>
      <c r="R119" s="350">
        <v>1.6666666666666667</v>
      </c>
      <c r="S119" s="350">
        <v>0.2</v>
      </c>
      <c r="T119" s="350">
        <v>1.8</v>
      </c>
      <c r="U119" s="350">
        <v>3.2227166666666665</v>
      </c>
    </row>
    <row r="120" spans="1:21">
      <c r="A120" s="332" t="s">
        <v>373</v>
      </c>
      <c r="D120" s="334" t="s">
        <v>256</v>
      </c>
      <c r="E120" s="343">
        <v>0.33999999999999986</v>
      </c>
      <c r="F120" s="343">
        <v>0.15000000000000036</v>
      </c>
      <c r="G120" s="344">
        <v>0.24500000000000011</v>
      </c>
      <c r="H120" s="345">
        <v>5.13</v>
      </c>
      <c r="I120" s="345">
        <v>3.95</v>
      </c>
      <c r="J120" s="345">
        <v>1.4100000000000001</v>
      </c>
      <c r="K120" s="345">
        <v>6.45</v>
      </c>
      <c r="L120" s="346">
        <v>3.8529999999999998</v>
      </c>
      <c r="M120" s="347">
        <v>5.34</v>
      </c>
      <c r="N120" s="347">
        <v>6.51</v>
      </c>
      <c r="O120" s="347">
        <v>7.27</v>
      </c>
      <c r="P120" s="348">
        <v>6.3733333333333322</v>
      </c>
      <c r="Q120" s="349">
        <v>3.490444444444444</v>
      </c>
      <c r="R120" s="350">
        <v>0.66666666666666663</v>
      </c>
      <c r="S120" s="350">
        <v>1.8</v>
      </c>
      <c r="T120" s="350">
        <v>0.7</v>
      </c>
      <c r="U120" s="350">
        <v>3.2080666666666664</v>
      </c>
    </row>
    <row r="121" spans="1:21">
      <c r="A121" s="332" t="s">
        <v>374</v>
      </c>
      <c r="D121" s="334" t="s">
        <v>256</v>
      </c>
      <c r="E121" s="343">
        <v>0.72000000000000064</v>
      </c>
      <c r="F121" s="343">
        <v>1.1500000000000004</v>
      </c>
      <c r="G121" s="344">
        <v>0.9350000000000005</v>
      </c>
      <c r="H121" s="345">
        <v>2.5</v>
      </c>
      <c r="I121" s="345">
        <v>4.51</v>
      </c>
      <c r="J121" s="345">
        <v>1.0600000000000005</v>
      </c>
      <c r="K121" s="345">
        <v>2.91</v>
      </c>
      <c r="L121" s="346">
        <v>2.8640000000000003</v>
      </c>
      <c r="M121" s="347">
        <v>5.27</v>
      </c>
      <c r="N121" s="347">
        <v>8.01</v>
      </c>
      <c r="O121" s="347">
        <v>4.7300000000000004</v>
      </c>
      <c r="P121" s="348">
        <v>6.003333333333333</v>
      </c>
      <c r="Q121" s="349">
        <v>3.2674444444444446</v>
      </c>
      <c r="R121" s="350">
        <v>1.3333333333333333</v>
      </c>
      <c r="S121" s="350">
        <v>0.2</v>
      </c>
      <c r="T121" s="350">
        <v>1.2</v>
      </c>
      <c r="U121" s="350">
        <v>3.074033333333333</v>
      </c>
    </row>
    <row r="122" spans="1:21">
      <c r="A122" s="332" t="s">
        <v>375</v>
      </c>
      <c r="D122" s="334" t="s">
        <v>268</v>
      </c>
      <c r="E122" s="343">
        <v>1.2599999999999998</v>
      </c>
      <c r="F122" s="343">
        <v>1.3000000000000007</v>
      </c>
      <c r="G122" s="344">
        <v>1.2800000000000002</v>
      </c>
      <c r="H122" s="345">
        <v>3.2</v>
      </c>
      <c r="I122" s="345">
        <v>4.9000000000000004</v>
      </c>
      <c r="J122" s="345">
        <v>1.4399999999999995</v>
      </c>
      <c r="K122" s="345">
        <v>2.88</v>
      </c>
      <c r="L122" s="346">
        <v>3.339</v>
      </c>
      <c r="M122" s="347">
        <v>6.24</v>
      </c>
      <c r="N122" s="347">
        <v>6.49</v>
      </c>
      <c r="O122" s="347">
        <v>3.76</v>
      </c>
      <c r="P122" s="348">
        <v>5.496666666666667</v>
      </c>
      <c r="Q122" s="349">
        <v>3.3718888888888885</v>
      </c>
      <c r="R122" s="350">
        <v>0.33333333333333331</v>
      </c>
      <c r="S122" s="350">
        <v>1.8</v>
      </c>
      <c r="T122" s="350">
        <v>0.6</v>
      </c>
      <c r="U122" s="350">
        <v>3.0680333333333332</v>
      </c>
    </row>
    <row r="123" spans="1:21">
      <c r="A123" s="332" t="s">
        <v>376</v>
      </c>
      <c r="D123" s="334" t="s">
        <v>268</v>
      </c>
      <c r="E123" s="343">
        <v>4.0999999999999996</v>
      </c>
      <c r="F123" s="343">
        <v>1.9299999999999997</v>
      </c>
      <c r="G123" s="344">
        <v>3.0149999999999997</v>
      </c>
      <c r="H123" s="345">
        <v>3.41</v>
      </c>
      <c r="I123" s="345">
        <v>2.4500000000000002</v>
      </c>
      <c r="J123" s="345">
        <v>1.9000000000000004</v>
      </c>
      <c r="K123" s="345">
        <v>2.6799999999999997</v>
      </c>
      <c r="L123" s="346">
        <v>2.66</v>
      </c>
      <c r="M123" s="347">
        <v>3.0999999999999996</v>
      </c>
      <c r="N123" s="347">
        <v>4.53</v>
      </c>
      <c r="O123" s="347">
        <v>2.88</v>
      </c>
      <c r="P123" s="348">
        <v>3.5033333333333334</v>
      </c>
      <c r="Q123" s="349">
        <v>3.0594444444444444</v>
      </c>
      <c r="R123" s="350">
        <v>2</v>
      </c>
      <c r="S123" s="350">
        <v>0.4</v>
      </c>
      <c r="T123" s="350">
        <v>2.7</v>
      </c>
      <c r="U123" s="350">
        <v>2.9535</v>
      </c>
    </row>
    <row r="124" spans="1:21">
      <c r="A124" s="332" t="s">
        <v>377</v>
      </c>
      <c r="D124" s="334" t="s">
        <v>251</v>
      </c>
      <c r="E124" s="343">
        <v>1.5</v>
      </c>
      <c r="F124" s="343">
        <v>3.3200000000000003</v>
      </c>
      <c r="G124" s="344">
        <v>2.41</v>
      </c>
      <c r="H124" s="345">
        <v>1.92</v>
      </c>
      <c r="I124" s="345">
        <v>4.83</v>
      </c>
      <c r="J124" s="345">
        <v>1.25</v>
      </c>
      <c r="K124" s="345">
        <v>4.6900000000000004</v>
      </c>
      <c r="L124" s="346">
        <v>2.9095</v>
      </c>
      <c r="M124" s="347">
        <v>6.49</v>
      </c>
      <c r="N124" s="347">
        <v>4.0199999999999996</v>
      </c>
      <c r="O124" s="347">
        <v>2.74</v>
      </c>
      <c r="P124" s="348">
        <v>4.416666666666667</v>
      </c>
      <c r="Q124" s="349">
        <v>3.2453888888888884</v>
      </c>
      <c r="R124" s="350">
        <v>0</v>
      </c>
      <c r="S124" s="350">
        <v>0.2</v>
      </c>
      <c r="T124" s="350">
        <v>0.1</v>
      </c>
      <c r="U124" s="350">
        <v>2.9208499999999997</v>
      </c>
    </row>
    <row r="125" spans="1:21">
      <c r="A125" s="332" t="s">
        <v>378</v>
      </c>
      <c r="D125" s="334" t="s">
        <v>268</v>
      </c>
      <c r="E125" s="343">
        <v>2.87</v>
      </c>
      <c r="F125" s="343">
        <v>2.1100000000000003</v>
      </c>
      <c r="G125" s="344">
        <v>2.4900000000000002</v>
      </c>
      <c r="H125" s="345">
        <v>3.5999999999999996</v>
      </c>
      <c r="I125" s="345">
        <v>4.92</v>
      </c>
      <c r="J125" s="345">
        <v>1.0500000000000007</v>
      </c>
      <c r="K125" s="345">
        <v>2.8499999999999996</v>
      </c>
      <c r="L125" s="346">
        <v>3.387</v>
      </c>
      <c r="M125" s="347">
        <v>4.1100000000000003</v>
      </c>
      <c r="N125" s="347">
        <v>3.41</v>
      </c>
      <c r="O125" s="347">
        <v>1.6600000000000001</v>
      </c>
      <c r="P125" s="348">
        <v>3.06</v>
      </c>
      <c r="Q125" s="349">
        <v>2.9790000000000005</v>
      </c>
      <c r="R125" s="350">
        <v>1.6666666666666667</v>
      </c>
      <c r="S125" s="350">
        <v>0.4</v>
      </c>
      <c r="T125" s="350">
        <v>1.9</v>
      </c>
      <c r="U125" s="350">
        <v>2.8477666666666663</v>
      </c>
    </row>
    <row r="126" spans="1:21">
      <c r="A126" s="332" t="s">
        <v>379</v>
      </c>
      <c r="D126" s="334" t="s">
        <v>268</v>
      </c>
      <c r="E126" s="343">
        <v>2.4699999999999998</v>
      </c>
      <c r="F126" s="343">
        <v>0.41000000000000014</v>
      </c>
      <c r="G126" s="344">
        <v>1.44</v>
      </c>
      <c r="H126" s="345">
        <v>2.1500000000000004</v>
      </c>
      <c r="I126" s="345">
        <v>5.65</v>
      </c>
      <c r="J126" s="345">
        <v>1.4700000000000006</v>
      </c>
      <c r="K126" s="345">
        <v>2.0199999999999996</v>
      </c>
      <c r="L126" s="346">
        <v>3.1985000000000001</v>
      </c>
      <c r="M126" s="347">
        <v>4.16</v>
      </c>
      <c r="N126" s="347">
        <v>6.59</v>
      </c>
      <c r="O126" s="347">
        <v>3.4299999999999997</v>
      </c>
      <c r="P126" s="348">
        <v>4.7266666666666666</v>
      </c>
      <c r="Q126" s="349">
        <v>3.1217222222222225</v>
      </c>
      <c r="R126" s="350">
        <v>0</v>
      </c>
      <c r="S126" s="350">
        <v>1</v>
      </c>
      <c r="T126" s="350">
        <v>0.3</v>
      </c>
      <c r="U126" s="350">
        <v>2.8095499999999998</v>
      </c>
    </row>
    <row r="127" spans="1:21">
      <c r="A127" s="332" t="s">
        <v>380</v>
      </c>
      <c r="D127" s="334" t="s">
        <v>268</v>
      </c>
      <c r="E127" s="343">
        <v>3.4800000000000004</v>
      </c>
      <c r="F127" s="343">
        <v>1.1999999999999993</v>
      </c>
      <c r="G127" s="344">
        <v>2.34</v>
      </c>
      <c r="H127" s="345">
        <v>1.9700000000000006</v>
      </c>
      <c r="I127" s="345">
        <v>5.65</v>
      </c>
      <c r="J127" s="345">
        <v>1.2799999999999994</v>
      </c>
      <c r="K127" s="345">
        <v>2.4000000000000004</v>
      </c>
      <c r="L127" s="346">
        <v>3.1070000000000002</v>
      </c>
      <c r="M127" s="347">
        <v>4.37</v>
      </c>
      <c r="N127" s="347">
        <v>6.1400000000000006</v>
      </c>
      <c r="O127" s="347">
        <v>1.2300000000000004</v>
      </c>
      <c r="P127" s="348">
        <v>3.913333333333334</v>
      </c>
      <c r="Q127" s="349">
        <v>3.1201111111111111</v>
      </c>
      <c r="R127" s="350">
        <v>0</v>
      </c>
      <c r="S127" s="350">
        <v>0.4</v>
      </c>
      <c r="T127" s="350">
        <v>0.2</v>
      </c>
      <c r="U127" s="350">
        <v>2.8081000000000005</v>
      </c>
    </row>
    <row r="128" spans="1:21">
      <c r="A128" s="332" t="s">
        <v>381</v>
      </c>
      <c r="D128" s="334" t="s">
        <v>256</v>
      </c>
      <c r="E128" s="343">
        <v>9.52</v>
      </c>
      <c r="F128" s="343">
        <v>0.36999999999999922</v>
      </c>
      <c r="G128" s="344">
        <v>4.9449999999999994</v>
      </c>
      <c r="H128" s="345">
        <v>2.2199999999999998</v>
      </c>
      <c r="I128" s="345">
        <v>1.5700000000000003</v>
      </c>
      <c r="J128" s="345">
        <v>1.9299999999999997</v>
      </c>
      <c r="K128" s="345">
        <v>2.09</v>
      </c>
      <c r="L128" s="346">
        <v>1.9135</v>
      </c>
      <c r="M128" s="347">
        <v>2.2400000000000002</v>
      </c>
      <c r="N128" s="347">
        <v>1.1600000000000001</v>
      </c>
      <c r="O128" s="347">
        <v>1.33</v>
      </c>
      <c r="P128" s="348">
        <v>1.5766666666666669</v>
      </c>
      <c r="Q128" s="349">
        <v>2.811722222222222</v>
      </c>
      <c r="R128" s="350">
        <v>2.6666666666666665</v>
      </c>
      <c r="S128" s="350">
        <v>0.2</v>
      </c>
      <c r="T128" s="350">
        <v>4.5</v>
      </c>
      <c r="U128" s="350">
        <v>2.7972166666666665</v>
      </c>
    </row>
    <row r="129" spans="1:21">
      <c r="A129" s="332" t="s">
        <v>382</v>
      </c>
      <c r="D129" s="334" t="s">
        <v>256</v>
      </c>
      <c r="E129" s="343">
        <v>0.88000000000000078</v>
      </c>
      <c r="F129" s="343">
        <v>0.11999999999999922</v>
      </c>
      <c r="G129" s="344">
        <v>0.5</v>
      </c>
      <c r="H129" s="345">
        <v>2.6100000000000003</v>
      </c>
      <c r="I129" s="345">
        <v>4.41</v>
      </c>
      <c r="J129" s="345">
        <v>0.97000000000000064</v>
      </c>
      <c r="K129" s="345">
        <v>4.47</v>
      </c>
      <c r="L129" s="346">
        <v>2.923</v>
      </c>
      <c r="M129" s="347">
        <v>4.6399999999999997</v>
      </c>
      <c r="N129" s="347">
        <v>7.75</v>
      </c>
      <c r="O129" s="347">
        <v>4.7</v>
      </c>
      <c r="P129" s="348">
        <v>5.6966666666666663</v>
      </c>
      <c r="Q129" s="349">
        <v>3.0398888888888891</v>
      </c>
      <c r="R129" s="350">
        <v>0.33333333333333331</v>
      </c>
      <c r="S129" s="350">
        <v>0.2</v>
      </c>
      <c r="T129" s="350">
        <v>0.2</v>
      </c>
      <c r="U129" s="350">
        <v>2.7692333333333332</v>
      </c>
    </row>
    <row r="130" spans="1:21">
      <c r="A130" s="332" t="s">
        <v>383</v>
      </c>
      <c r="D130" s="334" t="s">
        <v>268</v>
      </c>
      <c r="E130" s="343">
        <v>4.2300000000000004</v>
      </c>
      <c r="F130" s="343">
        <v>0.15000000000000036</v>
      </c>
      <c r="G130" s="344">
        <v>2.1900000000000004</v>
      </c>
      <c r="H130" s="345">
        <v>1.9000000000000004</v>
      </c>
      <c r="I130" s="345">
        <v>3.96</v>
      </c>
      <c r="J130" s="345">
        <v>1.6400000000000006</v>
      </c>
      <c r="K130" s="345">
        <v>2.8200000000000003</v>
      </c>
      <c r="L130" s="346">
        <v>2.6020000000000003</v>
      </c>
      <c r="M130" s="347">
        <v>4.1900000000000004</v>
      </c>
      <c r="N130" s="347">
        <v>6.98</v>
      </c>
      <c r="O130" s="347">
        <v>2.04</v>
      </c>
      <c r="P130" s="348">
        <v>4.4033333333333333</v>
      </c>
      <c r="Q130" s="349">
        <v>3.0651111111111113</v>
      </c>
      <c r="R130" s="350">
        <v>0</v>
      </c>
      <c r="S130" s="350">
        <v>1</v>
      </c>
      <c r="T130" s="350">
        <v>0.3</v>
      </c>
      <c r="U130" s="350">
        <v>2.7586000000000004</v>
      </c>
    </row>
    <row r="131" spans="1:21">
      <c r="A131" s="332" t="s">
        <v>384</v>
      </c>
      <c r="D131" s="334" t="s">
        <v>251</v>
      </c>
      <c r="E131" s="343">
        <v>3.26</v>
      </c>
      <c r="F131" s="343">
        <v>4.6500000000000004</v>
      </c>
      <c r="G131" s="344">
        <v>3.9550000000000001</v>
      </c>
      <c r="H131" s="345">
        <v>1.4900000000000002</v>
      </c>
      <c r="I131" s="345">
        <v>1.5500000000000007</v>
      </c>
      <c r="J131" s="345">
        <v>3.9299999999999997</v>
      </c>
      <c r="K131" s="345">
        <v>3.34</v>
      </c>
      <c r="L131" s="346">
        <v>2.2134999999999998</v>
      </c>
      <c r="M131" s="347">
        <v>4</v>
      </c>
      <c r="N131" s="347">
        <v>3.0599999999999996</v>
      </c>
      <c r="O131" s="347">
        <v>1.3000000000000007</v>
      </c>
      <c r="P131" s="348">
        <v>2.7866666666666666</v>
      </c>
      <c r="Q131" s="349">
        <v>2.9850555555555558</v>
      </c>
      <c r="R131" s="350">
        <v>0.66666666666666663</v>
      </c>
      <c r="S131" s="350">
        <v>0.2</v>
      </c>
      <c r="T131" s="350">
        <v>0.4</v>
      </c>
      <c r="U131" s="350">
        <v>2.7532166666666664</v>
      </c>
    </row>
    <row r="132" spans="1:21">
      <c r="A132" s="332" t="s">
        <v>385</v>
      </c>
      <c r="D132" s="334" t="s">
        <v>268</v>
      </c>
      <c r="E132" s="343">
        <v>2.66</v>
      </c>
      <c r="F132" s="343">
        <v>0.83000000000000007</v>
      </c>
      <c r="G132" s="344">
        <v>1.7450000000000001</v>
      </c>
      <c r="H132" s="345">
        <v>2.17</v>
      </c>
      <c r="I132" s="345">
        <v>5.04</v>
      </c>
      <c r="J132" s="345">
        <v>1.1999999999999993</v>
      </c>
      <c r="K132" s="345">
        <v>2.9699999999999998</v>
      </c>
      <c r="L132" s="346">
        <v>2.9719999999999995</v>
      </c>
      <c r="M132" s="347">
        <v>4.16</v>
      </c>
      <c r="N132" s="347">
        <v>6.59</v>
      </c>
      <c r="O132" s="347">
        <v>2.2800000000000002</v>
      </c>
      <c r="P132" s="348">
        <v>4.3433333333333337</v>
      </c>
      <c r="Q132" s="349">
        <v>3.020111111111111</v>
      </c>
      <c r="R132" s="350">
        <v>0</v>
      </c>
      <c r="S132" s="350">
        <v>0.4</v>
      </c>
      <c r="T132" s="350">
        <v>0.2</v>
      </c>
      <c r="U132" s="350">
        <v>2.7180999999999997</v>
      </c>
    </row>
    <row r="133" spans="1:21">
      <c r="A133" s="332" t="s">
        <v>386</v>
      </c>
      <c r="D133" s="334" t="s">
        <v>268</v>
      </c>
      <c r="E133" s="343">
        <v>2.4299999999999997</v>
      </c>
      <c r="F133" s="343">
        <v>0.94999999999999929</v>
      </c>
      <c r="G133" s="344">
        <v>1.6899999999999995</v>
      </c>
      <c r="H133" s="345">
        <v>2.62</v>
      </c>
      <c r="I133" s="345">
        <v>4.24</v>
      </c>
      <c r="J133" s="345">
        <v>1.3100000000000005</v>
      </c>
      <c r="K133" s="345">
        <v>3.59</v>
      </c>
      <c r="L133" s="346">
        <v>2.9079999999999999</v>
      </c>
      <c r="M133" s="347">
        <v>4.1500000000000004</v>
      </c>
      <c r="N133" s="347">
        <v>6.77</v>
      </c>
      <c r="O133" s="347">
        <v>2.1900000000000004</v>
      </c>
      <c r="P133" s="348">
        <v>4.37</v>
      </c>
      <c r="Q133" s="349">
        <v>2.9893333333333332</v>
      </c>
      <c r="R133" s="350">
        <v>0</v>
      </c>
      <c r="S133" s="350">
        <v>0.4</v>
      </c>
      <c r="T133" s="350">
        <v>0.2</v>
      </c>
      <c r="U133" s="350">
        <v>2.6903999999999995</v>
      </c>
    </row>
    <row r="134" spans="1:21">
      <c r="A134" s="332" t="s">
        <v>387</v>
      </c>
      <c r="D134" s="334" t="s">
        <v>247</v>
      </c>
      <c r="E134" s="343">
        <v>2.9000000000000004</v>
      </c>
      <c r="F134" s="343">
        <v>0.15000000000000036</v>
      </c>
      <c r="G134" s="344">
        <v>1.5250000000000004</v>
      </c>
      <c r="H134" s="345">
        <v>2.37</v>
      </c>
      <c r="I134" s="345">
        <v>3.7300000000000004</v>
      </c>
      <c r="J134" s="345">
        <v>1.1400000000000006</v>
      </c>
      <c r="K134" s="345">
        <v>2.8</v>
      </c>
      <c r="L134" s="346">
        <v>2.5600000000000005</v>
      </c>
      <c r="M134" s="347">
        <v>4.07</v>
      </c>
      <c r="N134" s="347">
        <v>5.9</v>
      </c>
      <c r="O134" s="347">
        <v>2.92</v>
      </c>
      <c r="P134" s="348">
        <v>4.2966666666666669</v>
      </c>
      <c r="Q134" s="349">
        <v>2.7938888888888891</v>
      </c>
      <c r="R134" s="350">
        <v>0.66666666666666663</v>
      </c>
      <c r="S134" s="350">
        <v>0.4</v>
      </c>
      <c r="T134" s="350">
        <v>0.5</v>
      </c>
      <c r="U134" s="350">
        <v>2.5811666666666668</v>
      </c>
    </row>
    <row r="135" spans="1:21">
      <c r="A135" s="332" t="s">
        <v>426</v>
      </c>
      <c r="D135" s="334" t="s">
        <v>268</v>
      </c>
      <c r="E135" s="343">
        <v>1.6600000000000001</v>
      </c>
      <c r="F135" s="343">
        <v>0.58000000000000007</v>
      </c>
      <c r="G135" s="344">
        <v>1.1200000000000001</v>
      </c>
      <c r="H135" s="345">
        <v>2.0700000000000003</v>
      </c>
      <c r="I135" s="345">
        <v>3.96</v>
      </c>
      <c r="J135" s="345">
        <v>1.3499999999999996</v>
      </c>
      <c r="K135" s="345">
        <v>3.59</v>
      </c>
      <c r="L135" s="346">
        <v>2.6274999999999999</v>
      </c>
      <c r="M135" s="347">
        <v>4.82</v>
      </c>
      <c r="N135" s="347">
        <v>6.82</v>
      </c>
      <c r="O135" s="347">
        <v>2.13</v>
      </c>
      <c r="P135" s="348">
        <v>4.59</v>
      </c>
      <c r="Q135" s="349">
        <v>2.7791666666666668</v>
      </c>
      <c r="R135" s="350">
        <v>0</v>
      </c>
      <c r="S135" s="350">
        <v>0.4</v>
      </c>
      <c r="T135" s="350">
        <v>0.2</v>
      </c>
      <c r="U135" s="350">
        <v>2.5012499999999998</v>
      </c>
    </row>
    <row r="136" spans="1:21">
      <c r="A136" s="332" t="s">
        <v>389</v>
      </c>
      <c r="D136" s="334" t="s">
        <v>251</v>
      </c>
      <c r="E136" s="343">
        <v>0.33999999999999986</v>
      </c>
      <c r="F136" s="343">
        <v>4.34</v>
      </c>
      <c r="G136" s="344">
        <v>2.34</v>
      </c>
      <c r="H136" s="345">
        <v>1.83</v>
      </c>
      <c r="I136" s="345">
        <v>2.58</v>
      </c>
      <c r="J136" s="345">
        <v>1.4299999999999997</v>
      </c>
      <c r="K136" s="345">
        <v>3.54</v>
      </c>
      <c r="L136" s="346">
        <v>2.0779999999999998</v>
      </c>
      <c r="M136" s="347">
        <v>6</v>
      </c>
      <c r="N136" s="347">
        <v>2.8499999999999996</v>
      </c>
      <c r="O136" s="347">
        <v>1.4000000000000004</v>
      </c>
      <c r="P136" s="348">
        <v>3.4166666666666665</v>
      </c>
      <c r="Q136" s="349">
        <v>2.611555555555555</v>
      </c>
      <c r="R136" s="350">
        <v>1</v>
      </c>
      <c r="S136" s="350">
        <v>7.6</v>
      </c>
      <c r="T136" s="350">
        <v>2.2000000000000002</v>
      </c>
      <c r="U136" s="350">
        <v>2.4503999999999997</v>
      </c>
    </row>
    <row r="137" spans="1:21">
      <c r="A137" s="332" t="s">
        <v>390</v>
      </c>
      <c r="D137" s="334" t="s">
        <v>247</v>
      </c>
      <c r="E137" s="343">
        <v>0.65000000000000036</v>
      </c>
      <c r="F137" s="343">
        <v>0.5600000000000005</v>
      </c>
      <c r="G137" s="344">
        <v>0.60500000000000043</v>
      </c>
      <c r="H137" s="345">
        <v>2.0099999999999998</v>
      </c>
      <c r="I137" s="345">
        <v>3.4800000000000004</v>
      </c>
      <c r="J137" s="345">
        <v>1.08</v>
      </c>
      <c r="K137" s="345">
        <v>1.7699999999999996</v>
      </c>
      <c r="L137" s="346">
        <v>2.2799999999999998</v>
      </c>
      <c r="M137" s="347">
        <v>4.95</v>
      </c>
      <c r="N137" s="347">
        <v>5.53</v>
      </c>
      <c r="O137" s="347">
        <v>4.54</v>
      </c>
      <c r="P137" s="348">
        <v>5.0066666666666668</v>
      </c>
      <c r="Q137" s="349">
        <v>2.630555555555556</v>
      </c>
      <c r="R137" s="350">
        <v>0.66666666666666663</v>
      </c>
      <c r="S137" s="350">
        <v>0.4</v>
      </c>
      <c r="T137" s="350">
        <v>0.5</v>
      </c>
      <c r="U137" s="350">
        <v>2.434166666666667</v>
      </c>
    </row>
    <row r="138" spans="1:21">
      <c r="A138" s="332" t="s">
        <v>391</v>
      </c>
      <c r="D138" s="334" t="s">
        <v>256</v>
      </c>
      <c r="E138" s="343">
        <v>6.24</v>
      </c>
      <c r="F138" s="343">
        <v>0.11999999999999922</v>
      </c>
      <c r="G138" s="344">
        <v>3.1799999999999997</v>
      </c>
      <c r="H138" s="345">
        <v>1.8000000000000007</v>
      </c>
      <c r="I138" s="345">
        <v>1.4700000000000006</v>
      </c>
      <c r="J138" s="345">
        <v>1.8000000000000007</v>
      </c>
      <c r="K138" s="345">
        <v>2</v>
      </c>
      <c r="L138" s="346">
        <v>1.6945000000000006</v>
      </c>
      <c r="M138" s="347">
        <v>2.79</v>
      </c>
      <c r="N138" s="347">
        <v>3.6799999999999997</v>
      </c>
      <c r="O138" s="347">
        <v>1.4499999999999993</v>
      </c>
      <c r="P138" s="348">
        <v>2.6399999999999997</v>
      </c>
      <c r="Q138" s="349">
        <v>2.5048333333333335</v>
      </c>
      <c r="R138" s="350">
        <v>1</v>
      </c>
      <c r="S138" s="350">
        <v>0.2</v>
      </c>
      <c r="T138" s="350">
        <v>0.7</v>
      </c>
      <c r="U138" s="350">
        <v>2.3543500000000002</v>
      </c>
    </row>
    <row r="139" spans="1:21">
      <c r="A139" s="332" t="s">
        <v>392</v>
      </c>
      <c r="D139" s="334" t="s">
        <v>268</v>
      </c>
      <c r="E139" s="343">
        <v>2.38</v>
      </c>
      <c r="F139" s="343">
        <v>0.44999999999999929</v>
      </c>
      <c r="G139" s="344">
        <v>1.4149999999999996</v>
      </c>
      <c r="H139" s="345">
        <v>2.25</v>
      </c>
      <c r="I139" s="345">
        <v>2.5499999999999998</v>
      </c>
      <c r="J139" s="345">
        <v>2.1799999999999997</v>
      </c>
      <c r="K139" s="345">
        <v>1.8200000000000003</v>
      </c>
      <c r="L139" s="346">
        <v>2.3159999999999998</v>
      </c>
      <c r="M139" s="347">
        <v>3.09</v>
      </c>
      <c r="N139" s="347">
        <v>5.45</v>
      </c>
      <c r="O139" s="347">
        <v>2.0199999999999996</v>
      </c>
      <c r="P139" s="348">
        <v>3.5199999999999996</v>
      </c>
      <c r="Q139" s="349">
        <v>2.4169999999999998</v>
      </c>
      <c r="R139" s="350">
        <v>1.3333333333333333</v>
      </c>
      <c r="S139" s="350">
        <v>1.8</v>
      </c>
      <c r="T139" s="350">
        <v>1.5</v>
      </c>
      <c r="U139" s="350">
        <v>2.3086333333333333</v>
      </c>
    </row>
    <row r="140" spans="1:21">
      <c r="A140" s="332" t="s">
        <v>393</v>
      </c>
      <c r="C140" s="334" t="s">
        <v>265</v>
      </c>
      <c r="D140" s="334" t="s">
        <v>251</v>
      </c>
      <c r="E140" s="343">
        <v>2.41</v>
      </c>
      <c r="F140" s="343">
        <v>1.7899999999999991</v>
      </c>
      <c r="G140" s="344">
        <v>2.0999999999999996</v>
      </c>
      <c r="H140" s="345">
        <v>1.6500000000000004</v>
      </c>
      <c r="I140" s="345">
        <v>1.7300000000000004</v>
      </c>
      <c r="J140" s="345">
        <v>0.82000000000000028</v>
      </c>
      <c r="K140" s="345">
        <v>3.0999999999999996</v>
      </c>
      <c r="L140" s="346">
        <v>1.5430000000000004</v>
      </c>
      <c r="M140" s="347">
        <v>5.71</v>
      </c>
      <c r="N140" s="347">
        <v>2.0099999999999998</v>
      </c>
      <c r="O140" s="347">
        <v>1.4900000000000002</v>
      </c>
      <c r="P140" s="348">
        <v>3.0700000000000003</v>
      </c>
      <c r="Q140" s="349">
        <v>2.2376666666666667</v>
      </c>
      <c r="R140" s="350">
        <v>2.3333333333333335</v>
      </c>
      <c r="S140" s="350">
        <v>0.2</v>
      </c>
      <c r="T140" s="350">
        <v>3.6</v>
      </c>
      <c r="U140" s="350">
        <v>2.2472333333333334</v>
      </c>
    </row>
    <row r="141" spans="1:21">
      <c r="A141" s="332" t="s">
        <v>394</v>
      </c>
      <c r="D141" s="334" t="s">
        <v>268</v>
      </c>
      <c r="E141" s="343">
        <v>2.0700000000000003</v>
      </c>
      <c r="F141" s="343">
        <v>1.2599999999999998</v>
      </c>
      <c r="G141" s="344">
        <v>1.665</v>
      </c>
      <c r="H141" s="345">
        <v>2.2000000000000002</v>
      </c>
      <c r="I141" s="345">
        <v>2.62</v>
      </c>
      <c r="J141" s="345">
        <v>1.4800000000000004</v>
      </c>
      <c r="K141" s="345">
        <v>1.75</v>
      </c>
      <c r="L141" s="346">
        <v>2.1444999999999999</v>
      </c>
      <c r="M141" s="347">
        <v>3.7800000000000002</v>
      </c>
      <c r="N141" s="347">
        <v>4.53</v>
      </c>
      <c r="O141" s="347">
        <v>2.3600000000000003</v>
      </c>
      <c r="P141" s="348">
        <v>3.5566666666666671</v>
      </c>
      <c r="Q141" s="349">
        <v>2.4553888888888888</v>
      </c>
      <c r="R141" s="350">
        <v>0</v>
      </c>
      <c r="S141" s="350">
        <v>1</v>
      </c>
      <c r="T141" s="350">
        <v>0.3</v>
      </c>
      <c r="U141" s="350">
        <v>2.2098500000000003</v>
      </c>
    </row>
    <row r="142" spans="1:21">
      <c r="A142" s="332" t="s">
        <v>395</v>
      </c>
      <c r="D142" s="334" t="s">
        <v>251</v>
      </c>
      <c r="E142" s="343">
        <v>0.92999999999999972</v>
      </c>
      <c r="F142" s="343">
        <v>2.4900000000000002</v>
      </c>
      <c r="G142" s="344">
        <v>1.71</v>
      </c>
      <c r="H142" s="345">
        <v>1.75</v>
      </c>
      <c r="I142" s="345">
        <v>2.2000000000000002</v>
      </c>
      <c r="J142" s="345">
        <v>0.58000000000000007</v>
      </c>
      <c r="K142" s="345">
        <v>3.58</v>
      </c>
      <c r="L142" s="346">
        <v>1.7064999999999999</v>
      </c>
      <c r="M142" s="347">
        <v>5.31</v>
      </c>
      <c r="N142" s="347">
        <v>2.67</v>
      </c>
      <c r="O142" s="347">
        <v>2.4900000000000002</v>
      </c>
      <c r="P142" s="348">
        <v>3.4899999999999998</v>
      </c>
      <c r="Q142" s="349">
        <v>2.3021666666666665</v>
      </c>
      <c r="R142" s="350">
        <v>1.3333333333333333</v>
      </c>
      <c r="S142" s="350">
        <v>1</v>
      </c>
      <c r="T142" s="350">
        <v>1.3</v>
      </c>
      <c r="U142" s="350">
        <v>2.2052833333333335</v>
      </c>
    </row>
    <row r="143" spans="1:21">
      <c r="A143" s="332" t="s">
        <v>427</v>
      </c>
      <c r="D143" s="334" t="s">
        <v>256</v>
      </c>
      <c r="E143" s="343">
        <v>3.87</v>
      </c>
      <c r="F143" s="343">
        <v>1.9499999999999993</v>
      </c>
      <c r="G143" s="344">
        <v>2.9099999999999997</v>
      </c>
      <c r="H143" s="345">
        <v>1.9299999999999997</v>
      </c>
      <c r="I143" s="345">
        <v>1.8000000000000007</v>
      </c>
      <c r="J143" s="345">
        <v>1.3499999999999996</v>
      </c>
      <c r="K143" s="345">
        <v>2.6900000000000004</v>
      </c>
      <c r="L143" s="346">
        <v>1.7775000000000001</v>
      </c>
      <c r="M143" s="347">
        <v>2.2699999999999996</v>
      </c>
      <c r="N143" s="347">
        <v>2.2599999999999998</v>
      </c>
      <c r="O143" s="347">
        <v>1.3800000000000008</v>
      </c>
      <c r="P143" s="348">
        <v>1.97</v>
      </c>
      <c r="Q143" s="349">
        <v>2.2191666666666667</v>
      </c>
      <c r="R143" s="350">
        <v>2</v>
      </c>
      <c r="S143" s="350">
        <v>0.2</v>
      </c>
      <c r="T143" s="350">
        <v>2.6</v>
      </c>
      <c r="U143" s="350">
        <v>2.1972499999999999</v>
      </c>
    </row>
    <row r="144" spans="1:21">
      <c r="A144" s="332" t="s">
        <v>397</v>
      </c>
      <c r="D144" s="334" t="s">
        <v>256</v>
      </c>
      <c r="E144" s="343">
        <v>1.8900000000000006</v>
      </c>
      <c r="F144" s="343">
        <v>0.6899999999999995</v>
      </c>
      <c r="G144" s="344">
        <v>1.29</v>
      </c>
      <c r="H144" s="345">
        <v>1.5700000000000003</v>
      </c>
      <c r="I144" s="345">
        <v>2.5999999999999996</v>
      </c>
      <c r="J144" s="345">
        <v>0.86999999999999922</v>
      </c>
      <c r="K144" s="345">
        <v>4.6900000000000004</v>
      </c>
      <c r="L144" s="346">
        <v>1.9114999999999998</v>
      </c>
      <c r="M144" s="347">
        <v>5.81</v>
      </c>
      <c r="N144" s="347">
        <v>2.5300000000000002</v>
      </c>
      <c r="O144" s="347">
        <v>2.0599999999999996</v>
      </c>
      <c r="P144" s="348">
        <v>3.4666666666666663</v>
      </c>
      <c r="Q144" s="349">
        <v>2.222722222222222</v>
      </c>
      <c r="R144" s="350">
        <v>0</v>
      </c>
      <c r="S144" s="350">
        <v>0.2</v>
      </c>
      <c r="T144" s="350">
        <v>0.1</v>
      </c>
      <c r="U144" s="350">
        <v>2.0004499999999998</v>
      </c>
    </row>
    <row r="145" spans="1:21">
      <c r="A145" s="332" t="s">
        <v>398</v>
      </c>
      <c r="D145" s="334" t="s">
        <v>268</v>
      </c>
      <c r="E145" s="343">
        <v>1.33</v>
      </c>
      <c r="F145" s="343">
        <v>1.1300000000000008</v>
      </c>
      <c r="G145" s="344">
        <v>1.2300000000000004</v>
      </c>
      <c r="H145" s="345">
        <v>1.9000000000000004</v>
      </c>
      <c r="I145" s="345">
        <v>2.9699999999999998</v>
      </c>
      <c r="J145" s="345">
        <v>1.3200000000000003</v>
      </c>
      <c r="K145" s="345">
        <v>1.5399999999999991</v>
      </c>
      <c r="L145" s="346">
        <v>2.1114999999999999</v>
      </c>
      <c r="M145" s="347">
        <v>3.5700000000000003</v>
      </c>
      <c r="N145" s="347">
        <v>4.2300000000000004</v>
      </c>
      <c r="O145" s="347">
        <v>0.88000000000000078</v>
      </c>
      <c r="P145" s="348">
        <v>2.893333333333334</v>
      </c>
      <c r="Q145" s="349">
        <v>2.0782777777777781</v>
      </c>
      <c r="R145" s="350">
        <v>1</v>
      </c>
      <c r="S145" s="350">
        <v>1</v>
      </c>
      <c r="T145" s="350">
        <v>0.9</v>
      </c>
      <c r="U145" s="350">
        <v>1.9704500000000005</v>
      </c>
    </row>
    <row r="146" spans="1:21">
      <c r="A146" s="332" t="s">
        <v>399</v>
      </c>
      <c r="D146" s="334" t="s">
        <v>256</v>
      </c>
      <c r="E146" s="343">
        <v>2.4400000000000004</v>
      </c>
      <c r="F146" s="343">
        <v>1.1999999999999993</v>
      </c>
      <c r="G146" s="344">
        <v>1.8199999999999998</v>
      </c>
      <c r="H146" s="345">
        <v>1.7899999999999991</v>
      </c>
      <c r="I146" s="345">
        <v>1.3000000000000007</v>
      </c>
      <c r="J146" s="345">
        <v>1.8000000000000007</v>
      </c>
      <c r="K146" s="345">
        <v>2.8099999999999996</v>
      </c>
      <c r="L146" s="346">
        <v>1.6720000000000002</v>
      </c>
      <c r="M146" s="347">
        <v>1.9700000000000006</v>
      </c>
      <c r="N146" s="347">
        <v>2.2800000000000002</v>
      </c>
      <c r="O146" s="347">
        <v>2.46</v>
      </c>
      <c r="P146" s="348">
        <v>2.2366666666666668</v>
      </c>
      <c r="Q146" s="349">
        <v>1.9095555555555557</v>
      </c>
      <c r="R146" s="350">
        <v>1</v>
      </c>
      <c r="S146" s="350">
        <v>0.2</v>
      </c>
      <c r="T146" s="350">
        <v>0.7</v>
      </c>
      <c r="U146" s="350">
        <v>1.8186000000000002</v>
      </c>
    </row>
    <row r="147" spans="1:21">
      <c r="A147" s="332" t="s">
        <v>400</v>
      </c>
      <c r="D147" s="334" t="s">
        <v>251</v>
      </c>
      <c r="E147" s="343">
        <v>0.23000000000000043</v>
      </c>
      <c r="F147" s="343">
        <v>0.99000000000000021</v>
      </c>
      <c r="G147" s="344">
        <v>0.61000000000000032</v>
      </c>
      <c r="H147" s="345">
        <v>1.8399999999999999</v>
      </c>
      <c r="I147" s="345">
        <v>2.2300000000000004</v>
      </c>
      <c r="J147" s="345">
        <v>0.51999999999999957</v>
      </c>
      <c r="K147" s="345">
        <v>3.5199999999999996</v>
      </c>
      <c r="L147" s="346">
        <v>1.7304999999999999</v>
      </c>
      <c r="M147" s="347">
        <v>5.62</v>
      </c>
      <c r="N147" s="347">
        <v>2.1399999999999997</v>
      </c>
      <c r="O147" s="347">
        <v>1.8900000000000006</v>
      </c>
      <c r="P147" s="348">
        <v>3.2166666666666668</v>
      </c>
      <c r="Q147" s="349">
        <v>1.8523888888888891</v>
      </c>
      <c r="R147" s="350">
        <v>0.33333333333333331</v>
      </c>
      <c r="S147" s="350">
        <v>0.2</v>
      </c>
      <c r="T147" s="350">
        <v>0.2</v>
      </c>
      <c r="U147" s="350">
        <v>1.7004833333333333</v>
      </c>
    </row>
    <row r="148" spans="1:21">
      <c r="A148" s="332" t="s">
        <v>401</v>
      </c>
      <c r="D148" s="334" t="s">
        <v>256</v>
      </c>
      <c r="E148" s="343">
        <v>1.9100000000000001</v>
      </c>
      <c r="F148" s="343">
        <v>0.58000000000000007</v>
      </c>
      <c r="G148" s="344">
        <v>1.2450000000000001</v>
      </c>
      <c r="H148" s="345">
        <v>1.3800000000000008</v>
      </c>
      <c r="I148" s="345">
        <v>1.6300000000000008</v>
      </c>
      <c r="J148" s="345">
        <v>1.2100000000000009</v>
      </c>
      <c r="K148" s="345">
        <v>2.74</v>
      </c>
      <c r="L148" s="346">
        <v>1.4930000000000008</v>
      </c>
      <c r="M148" s="347">
        <v>3.49</v>
      </c>
      <c r="N148" s="347">
        <v>1.6799999999999997</v>
      </c>
      <c r="O148" s="347">
        <v>1.17</v>
      </c>
      <c r="P148" s="348">
        <v>2.1133333333333333</v>
      </c>
      <c r="Q148" s="349">
        <v>1.6171111111111116</v>
      </c>
      <c r="R148" s="350">
        <v>0</v>
      </c>
      <c r="S148" s="350">
        <v>0.2</v>
      </c>
      <c r="T148" s="350">
        <v>0.1</v>
      </c>
      <c r="U148" s="350">
        <v>1.4554000000000002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A1:AC148"/>
  <sheetViews>
    <sheetView workbookViewId="0"/>
  </sheetViews>
  <sheetFormatPr defaultRowHeight="12.75"/>
  <cols>
    <col min="1" max="1" width="16.28515625" style="313" customWidth="1"/>
    <col min="2" max="3" width="0" style="313" hidden="1" customWidth="1"/>
    <col min="4" max="4" width="17.5703125" style="313" hidden="1" customWidth="1"/>
    <col min="5" max="6" width="0" style="313" hidden="1" customWidth="1"/>
    <col min="7" max="7" width="9.140625" style="326"/>
    <col min="8" max="11" width="0" style="313" hidden="1" customWidth="1"/>
    <col min="12" max="12" width="9.140625" style="326"/>
    <col min="13" max="15" width="0" style="313" hidden="1" customWidth="1"/>
    <col min="16" max="16" width="9.140625" style="326"/>
    <col min="17" max="17" width="9.140625" style="324"/>
    <col min="18" max="21" width="0" style="313" hidden="1" customWidth="1"/>
    <col min="22" max="22" width="9.140625" style="325"/>
    <col min="23" max="23" width="9.140625" style="313"/>
    <col min="24" max="24" width="9.140625" style="313" customWidth="1"/>
    <col min="25" max="16384" width="9.140625" style="313"/>
  </cols>
  <sheetData>
    <row r="1" spans="1:29" s="316" customFormat="1" ht="93" customHeight="1">
      <c r="A1" s="315" t="s">
        <v>409</v>
      </c>
      <c r="B1" s="316" t="s">
        <v>410</v>
      </c>
      <c r="C1" s="316" t="s">
        <v>411</v>
      </c>
      <c r="D1" s="316" t="s">
        <v>412</v>
      </c>
      <c r="E1" s="316" t="s">
        <v>227</v>
      </c>
      <c r="F1" s="316" t="s">
        <v>228</v>
      </c>
      <c r="G1" s="317" t="s">
        <v>413</v>
      </c>
      <c r="H1" s="318" t="s">
        <v>229</v>
      </c>
      <c r="I1" s="318" t="s">
        <v>230</v>
      </c>
      <c r="J1" s="318" t="s">
        <v>231</v>
      </c>
      <c r="K1" s="318" t="s">
        <v>232</v>
      </c>
      <c r="L1" s="317" t="s">
        <v>414</v>
      </c>
      <c r="M1" s="318" t="s">
        <v>233</v>
      </c>
      <c r="N1" s="318" t="s">
        <v>234</v>
      </c>
      <c r="O1" s="318" t="s">
        <v>235</v>
      </c>
      <c r="P1" s="317" t="s">
        <v>415</v>
      </c>
      <c r="Q1" s="319" t="s">
        <v>236</v>
      </c>
      <c r="R1" s="318" t="s">
        <v>237</v>
      </c>
      <c r="S1" s="318" t="s">
        <v>238</v>
      </c>
      <c r="T1" s="318" t="s">
        <v>416</v>
      </c>
      <c r="U1" s="318" t="s">
        <v>239</v>
      </c>
      <c r="V1" s="320" t="s">
        <v>417</v>
      </c>
      <c r="W1" s="321" t="s">
        <v>418</v>
      </c>
      <c r="X1" s="321" t="s">
        <v>419</v>
      </c>
      <c r="Y1" s="316" t="s">
        <v>420</v>
      </c>
      <c r="Z1" s="316" t="s">
        <v>421</v>
      </c>
    </row>
    <row r="2" spans="1:29">
      <c r="A2" s="322" t="s">
        <v>422</v>
      </c>
      <c r="B2" s="322" t="s">
        <v>245</v>
      </c>
      <c r="C2" s="322" t="s">
        <v>246</v>
      </c>
      <c r="D2" s="322" t="s">
        <v>247</v>
      </c>
      <c r="E2" s="322">
        <v>4.38</v>
      </c>
      <c r="F2" s="322">
        <v>8.92</v>
      </c>
      <c r="G2" s="323">
        <v>6.65</v>
      </c>
      <c r="H2" s="322">
        <v>9.91</v>
      </c>
      <c r="I2" s="322">
        <v>9.3000000000000007</v>
      </c>
      <c r="J2" s="322">
        <v>8</v>
      </c>
      <c r="K2" s="322">
        <v>7.79</v>
      </c>
      <c r="L2" s="323">
        <v>9.1129999999999995</v>
      </c>
      <c r="M2" s="323">
        <v>7.23</v>
      </c>
      <c r="N2" s="322">
        <v>7.7200000000000006</v>
      </c>
      <c r="O2" s="322">
        <v>7.45</v>
      </c>
      <c r="P2" s="323">
        <v>7.4666666666666677</v>
      </c>
      <c r="Q2" s="324">
        <v>7.7432222222222222</v>
      </c>
      <c r="R2" s="313">
        <v>9.9333333333333336</v>
      </c>
      <c r="S2" s="313">
        <v>7.6</v>
      </c>
      <c r="T2" s="313">
        <v>9.3000000000000007</v>
      </c>
      <c r="U2" s="313">
        <v>7.9622333333333328</v>
      </c>
      <c r="V2" s="325">
        <f xml:space="preserve"> ($G2^(1/3) +  $L2^(1/3)  +$P2^(1/3))^3 / 27</f>
        <v>7.6989966496841422</v>
      </c>
      <c r="W2" s="322">
        <f t="shared" ref="W2:W33" si="0">RANK(Q2, Risk, 1)</f>
        <v>147</v>
      </c>
      <c r="X2" s="322">
        <f t="shared" ref="X2:X33" si="1">RANK(V2, RiskAggregAlt, 1)</f>
        <v>147</v>
      </c>
      <c r="Y2" s="313">
        <f>W2-X2</f>
        <v>0</v>
      </c>
      <c r="Z2" s="313">
        <f>ABS(Y2)</f>
        <v>0</v>
      </c>
      <c r="AC2" s="313" t="s">
        <v>207</v>
      </c>
    </row>
    <row r="3" spans="1:29">
      <c r="A3" s="322" t="s">
        <v>248</v>
      </c>
      <c r="B3" s="322" t="s">
        <v>245</v>
      </c>
      <c r="C3" s="322" t="s">
        <v>246</v>
      </c>
      <c r="D3" s="322" t="s">
        <v>249</v>
      </c>
      <c r="E3" s="322">
        <v>3.6399999999999997</v>
      </c>
      <c r="F3" s="322">
        <v>9.8800000000000008</v>
      </c>
      <c r="G3" s="323">
        <v>6.76</v>
      </c>
      <c r="H3" s="322">
        <v>9.11</v>
      </c>
      <c r="I3" s="322">
        <v>8.09</v>
      </c>
      <c r="J3" s="322">
        <v>8.43</v>
      </c>
      <c r="K3" s="322">
        <v>7.84</v>
      </c>
      <c r="L3" s="323">
        <v>8.519499999999999</v>
      </c>
      <c r="M3" s="322">
        <v>7.7200000000000006</v>
      </c>
      <c r="N3" s="322">
        <v>8.08</v>
      </c>
      <c r="O3" s="322">
        <v>7.23</v>
      </c>
      <c r="P3" s="323">
        <v>7.6766666666666667</v>
      </c>
      <c r="Q3" s="324">
        <v>7.6520555555555552</v>
      </c>
      <c r="R3" s="313">
        <v>9.9333333333333336</v>
      </c>
      <c r="S3" s="313">
        <v>7.6</v>
      </c>
      <c r="T3" s="313">
        <v>9.3000000000000007</v>
      </c>
      <c r="U3" s="313">
        <v>7.8801833333333331</v>
      </c>
      <c r="V3" s="325">
        <f t="shared" ref="V3:V66" si="2" xml:space="preserve"> (G3^(1/3) +  L3^(1/3)  +P3^(1/3))^3 / 27</f>
        <v>7.6294163760382965</v>
      </c>
      <c r="W3" s="322">
        <f t="shared" si="0"/>
        <v>146</v>
      </c>
      <c r="X3" s="322">
        <f t="shared" si="1"/>
        <v>146</v>
      </c>
      <c r="Y3" s="313">
        <f t="shared" ref="Y3:Y66" si="3">W3-X3</f>
        <v>0</v>
      </c>
      <c r="Z3" s="313">
        <f t="shared" ref="Z3:Z66" si="4">ABS(Y3)</f>
        <v>0</v>
      </c>
      <c r="AC3" s="313" t="s">
        <v>440</v>
      </c>
    </row>
    <row r="4" spans="1:29">
      <c r="A4" s="313" t="s">
        <v>252</v>
      </c>
      <c r="B4" s="313" t="s">
        <v>245</v>
      </c>
      <c r="C4" s="313" t="s">
        <v>246</v>
      </c>
      <c r="D4" s="313" t="s">
        <v>249</v>
      </c>
      <c r="E4" s="313">
        <v>3.58</v>
      </c>
      <c r="F4" s="313">
        <v>8.51</v>
      </c>
      <c r="G4" s="326">
        <v>6.0449999999999999</v>
      </c>
      <c r="H4" s="313">
        <v>9.73</v>
      </c>
      <c r="I4" s="313">
        <v>9.27</v>
      </c>
      <c r="J4" s="313">
        <v>6.55</v>
      </c>
      <c r="K4" s="313">
        <v>8.2799999999999994</v>
      </c>
      <c r="L4" s="326">
        <v>8.7014999999999993</v>
      </c>
      <c r="M4" s="313">
        <v>8.15</v>
      </c>
      <c r="N4" s="313">
        <v>8.2799999999999994</v>
      </c>
      <c r="O4" s="313">
        <v>7.65</v>
      </c>
      <c r="P4" s="326">
        <v>8.0266666666666655</v>
      </c>
      <c r="Q4" s="324">
        <v>7.5910555555555552</v>
      </c>
      <c r="R4" s="313">
        <v>9.6</v>
      </c>
      <c r="S4" s="313">
        <v>7.6</v>
      </c>
      <c r="T4" s="313">
        <v>9.1999999999999993</v>
      </c>
      <c r="U4" s="313">
        <v>7.791949999999999</v>
      </c>
      <c r="V4" s="325">
        <f t="shared" si="2"/>
        <v>7.5322260287771838</v>
      </c>
      <c r="W4" s="313">
        <f t="shared" si="0"/>
        <v>145</v>
      </c>
      <c r="X4" s="313">
        <f t="shared" si="1"/>
        <v>144</v>
      </c>
      <c r="Y4" s="313">
        <f t="shared" si="3"/>
        <v>1</v>
      </c>
      <c r="Z4" s="313">
        <f t="shared" si="4"/>
        <v>1</v>
      </c>
    </row>
    <row r="5" spans="1:29">
      <c r="A5" s="313" t="s">
        <v>250</v>
      </c>
      <c r="B5" s="313" t="s">
        <v>245</v>
      </c>
      <c r="C5" s="313" t="s">
        <v>246</v>
      </c>
      <c r="D5" s="313" t="s">
        <v>251</v>
      </c>
      <c r="E5" s="313">
        <v>5.91</v>
      </c>
      <c r="F5" s="313">
        <v>9.3699999999999992</v>
      </c>
      <c r="G5" s="326">
        <v>7.64</v>
      </c>
      <c r="H5" s="313">
        <v>9.8699999999999992</v>
      </c>
      <c r="I5" s="313">
        <v>9.1199999999999992</v>
      </c>
      <c r="J5" s="313">
        <v>3.4000000000000004</v>
      </c>
      <c r="K5" s="313">
        <v>7.8599999999999994</v>
      </c>
      <c r="L5" s="326">
        <v>7.8894999999999991</v>
      </c>
      <c r="M5" s="313">
        <v>7.54</v>
      </c>
      <c r="N5" s="313">
        <v>6.7799999999999994</v>
      </c>
      <c r="O5" s="313">
        <v>7.3900000000000006</v>
      </c>
      <c r="P5" s="326">
        <v>7.2366666666666672</v>
      </c>
      <c r="Q5" s="324">
        <v>7.5887222222222226</v>
      </c>
      <c r="R5" s="313">
        <v>9.9333333333333336</v>
      </c>
      <c r="S5" s="313">
        <v>9.6999999999999993</v>
      </c>
      <c r="T5" s="313">
        <v>9.8000000000000007</v>
      </c>
      <c r="U5" s="313">
        <v>7.8231833333333327</v>
      </c>
      <c r="V5" s="325">
        <f t="shared" si="2"/>
        <v>7.5855251516132745</v>
      </c>
      <c r="W5" s="313">
        <f t="shared" si="0"/>
        <v>144</v>
      </c>
      <c r="X5" s="313">
        <f t="shared" si="1"/>
        <v>145</v>
      </c>
      <c r="Y5" s="313">
        <f t="shared" si="3"/>
        <v>-1</v>
      </c>
      <c r="Z5" s="313">
        <f t="shared" si="4"/>
        <v>1</v>
      </c>
    </row>
    <row r="6" spans="1:29">
      <c r="A6" s="313" t="s">
        <v>253</v>
      </c>
      <c r="B6" s="313" t="s">
        <v>245</v>
      </c>
      <c r="C6" s="313" t="s">
        <v>246</v>
      </c>
      <c r="D6" s="313" t="s">
        <v>254</v>
      </c>
      <c r="E6" s="313">
        <v>2.2999999999999998</v>
      </c>
      <c r="F6" s="313">
        <v>9.69</v>
      </c>
      <c r="G6" s="326">
        <v>5.9949999999999992</v>
      </c>
      <c r="H6" s="313">
        <v>9.6</v>
      </c>
      <c r="I6" s="313">
        <v>8.58</v>
      </c>
      <c r="J6" s="313">
        <v>6.0299999999999994</v>
      </c>
      <c r="K6" s="313">
        <v>8.9600000000000009</v>
      </c>
      <c r="L6" s="326">
        <v>8.3185000000000002</v>
      </c>
      <c r="M6" s="313">
        <v>7.74</v>
      </c>
      <c r="N6" s="313">
        <v>7.7799999999999994</v>
      </c>
      <c r="O6" s="313">
        <v>8.51</v>
      </c>
      <c r="P6" s="326">
        <v>8.01</v>
      </c>
      <c r="Q6" s="324">
        <v>7.4411666666666667</v>
      </c>
      <c r="R6" s="313">
        <v>9.6</v>
      </c>
      <c r="S6" s="313">
        <v>9.6999999999999993</v>
      </c>
      <c r="T6" s="313">
        <v>9.6</v>
      </c>
      <c r="U6" s="313">
        <v>7.6570500000000008</v>
      </c>
      <c r="V6" s="325">
        <f t="shared" si="2"/>
        <v>7.3907390460922748</v>
      </c>
      <c r="W6" s="313">
        <f t="shared" si="0"/>
        <v>143</v>
      </c>
      <c r="X6" s="313">
        <f t="shared" si="1"/>
        <v>143</v>
      </c>
      <c r="Y6" s="313">
        <f t="shared" si="3"/>
        <v>0</v>
      </c>
      <c r="Z6" s="313">
        <f t="shared" si="4"/>
        <v>0</v>
      </c>
    </row>
    <row r="7" spans="1:29">
      <c r="A7" s="313" t="s">
        <v>258</v>
      </c>
      <c r="C7" s="313" t="s">
        <v>246</v>
      </c>
      <c r="D7" s="313" t="s">
        <v>251</v>
      </c>
      <c r="E7" s="313">
        <v>7.27</v>
      </c>
      <c r="F7" s="313">
        <v>9.42</v>
      </c>
      <c r="G7" s="326">
        <v>8.3449999999999989</v>
      </c>
      <c r="H7" s="313">
        <v>8.14</v>
      </c>
      <c r="I7" s="313">
        <v>7.92</v>
      </c>
      <c r="J7" s="313">
        <v>6.85</v>
      </c>
      <c r="K7" s="313">
        <v>5.8</v>
      </c>
      <c r="L7" s="326">
        <v>7.6235000000000008</v>
      </c>
      <c r="M7" s="313">
        <v>5.77</v>
      </c>
      <c r="N7" s="313">
        <v>6.52</v>
      </c>
      <c r="O7" s="313">
        <v>5.92</v>
      </c>
      <c r="P7" s="326">
        <v>6.07</v>
      </c>
      <c r="Q7" s="324">
        <v>7.3461666666666661</v>
      </c>
      <c r="R7" s="313">
        <v>7.7333333333333343</v>
      </c>
      <c r="S7" s="313">
        <v>9.6999999999999993</v>
      </c>
      <c r="T7" s="313">
        <v>9.6</v>
      </c>
      <c r="U7" s="313">
        <v>7.3848833333333328</v>
      </c>
      <c r="V7" s="325">
        <f t="shared" si="2"/>
        <v>7.3037392522984996</v>
      </c>
      <c r="W7" s="313">
        <f t="shared" si="0"/>
        <v>142</v>
      </c>
      <c r="X7" s="313">
        <f t="shared" si="1"/>
        <v>142</v>
      </c>
      <c r="Y7" s="313">
        <f t="shared" si="3"/>
        <v>0</v>
      </c>
      <c r="Z7" s="313">
        <f t="shared" si="4"/>
        <v>0</v>
      </c>
    </row>
    <row r="8" spans="1:29">
      <c r="A8" s="313" t="s">
        <v>255</v>
      </c>
      <c r="B8" s="313" t="s">
        <v>245</v>
      </c>
      <c r="C8" s="313" t="s">
        <v>246</v>
      </c>
      <c r="D8" s="313" t="s">
        <v>256</v>
      </c>
      <c r="E8" s="313">
        <v>8.9499999999999993</v>
      </c>
      <c r="F8" s="313">
        <v>7.46</v>
      </c>
      <c r="G8" s="326">
        <v>8.2050000000000001</v>
      </c>
      <c r="H8" s="313">
        <v>8.43</v>
      </c>
      <c r="I8" s="313">
        <v>8.58</v>
      </c>
      <c r="J8" s="313">
        <v>2.6500000000000004</v>
      </c>
      <c r="K8" s="313">
        <v>5.01</v>
      </c>
      <c r="L8" s="326">
        <v>6.8664999999999994</v>
      </c>
      <c r="M8" s="313">
        <v>8.120000000000001</v>
      </c>
      <c r="N8" s="313">
        <v>6.59</v>
      </c>
      <c r="O8" s="313">
        <v>5.78</v>
      </c>
      <c r="P8" s="326">
        <v>6.830000000000001</v>
      </c>
      <c r="Q8" s="324">
        <v>7.3005000000000004</v>
      </c>
      <c r="R8" s="313">
        <v>8.8333333333333339</v>
      </c>
      <c r="S8" s="313">
        <v>8.6999999999999993</v>
      </c>
      <c r="T8" s="313">
        <v>9.4</v>
      </c>
      <c r="U8" s="313">
        <v>7.4537833333333339</v>
      </c>
      <c r="V8" s="325">
        <f t="shared" si="2"/>
        <v>7.2823950374677571</v>
      </c>
      <c r="W8" s="313">
        <f t="shared" si="0"/>
        <v>141</v>
      </c>
      <c r="X8" s="313">
        <f t="shared" si="1"/>
        <v>141</v>
      </c>
      <c r="Y8" s="313">
        <f t="shared" si="3"/>
        <v>0</v>
      </c>
      <c r="Z8" s="313">
        <f t="shared" si="4"/>
        <v>0</v>
      </c>
    </row>
    <row r="9" spans="1:29">
      <c r="A9" s="313" t="s">
        <v>257</v>
      </c>
      <c r="B9" s="313" t="s">
        <v>245</v>
      </c>
      <c r="C9" s="313" t="s">
        <v>246</v>
      </c>
      <c r="D9" s="313" t="s">
        <v>254</v>
      </c>
      <c r="E9" s="313">
        <v>4.42</v>
      </c>
      <c r="F9" s="313">
        <v>8.32</v>
      </c>
      <c r="G9" s="326">
        <v>6.37</v>
      </c>
      <c r="H9" s="313">
        <v>9.17</v>
      </c>
      <c r="I9" s="313">
        <v>8.77</v>
      </c>
      <c r="J9" s="313">
        <v>6.2200000000000006</v>
      </c>
      <c r="K9" s="313">
        <v>8.4600000000000009</v>
      </c>
      <c r="L9" s="326">
        <v>8.2569999999999997</v>
      </c>
      <c r="M9" s="313">
        <v>5.81</v>
      </c>
      <c r="N9" s="313">
        <v>7.21</v>
      </c>
      <c r="O9" s="313">
        <v>8.4700000000000006</v>
      </c>
      <c r="P9" s="326">
        <v>7.163333333333334</v>
      </c>
      <c r="Q9" s="324">
        <v>7.2634444444444446</v>
      </c>
      <c r="R9" s="313">
        <v>8.8333333333333339</v>
      </c>
      <c r="S9" s="313">
        <v>8.6999999999999993</v>
      </c>
      <c r="T9" s="313">
        <v>9.4</v>
      </c>
      <c r="U9" s="313">
        <v>7.4204333333333334</v>
      </c>
      <c r="V9" s="325">
        <f t="shared" si="2"/>
        <v>7.2361551500730101</v>
      </c>
      <c r="W9" s="313">
        <f t="shared" si="0"/>
        <v>140</v>
      </c>
      <c r="X9" s="313">
        <f t="shared" si="1"/>
        <v>140</v>
      </c>
      <c r="Y9" s="313">
        <f t="shared" si="3"/>
        <v>0</v>
      </c>
      <c r="Z9" s="313">
        <f t="shared" si="4"/>
        <v>0</v>
      </c>
    </row>
    <row r="10" spans="1:29">
      <c r="A10" s="313" t="s">
        <v>259</v>
      </c>
      <c r="B10" s="313" t="s">
        <v>245</v>
      </c>
      <c r="C10" s="313" t="s">
        <v>246</v>
      </c>
      <c r="D10" s="313" t="s">
        <v>249</v>
      </c>
      <c r="E10" s="313">
        <v>2.54</v>
      </c>
      <c r="F10" s="313">
        <v>7.92</v>
      </c>
      <c r="G10" s="326">
        <v>5.23</v>
      </c>
      <c r="H10" s="313">
        <v>9.18</v>
      </c>
      <c r="I10" s="313">
        <v>9.1</v>
      </c>
      <c r="J10" s="313">
        <v>5.72</v>
      </c>
      <c r="K10" s="313">
        <v>7.13</v>
      </c>
      <c r="L10" s="326">
        <v>8.1844999999999999</v>
      </c>
      <c r="M10" s="313">
        <v>7.77</v>
      </c>
      <c r="N10" s="313">
        <v>7.4</v>
      </c>
      <c r="O10" s="313">
        <v>7.77</v>
      </c>
      <c r="P10" s="326">
        <v>7.6466666666666656</v>
      </c>
      <c r="Q10" s="324">
        <v>7.0203888888888883</v>
      </c>
      <c r="R10" s="313">
        <v>8.9333333333333336</v>
      </c>
      <c r="S10" s="313">
        <v>6.2</v>
      </c>
      <c r="T10" s="313">
        <v>8.1</v>
      </c>
      <c r="U10" s="313">
        <v>7.2116833333333332</v>
      </c>
      <c r="V10" s="325">
        <f t="shared" si="2"/>
        <v>6.9357184996681269</v>
      </c>
      <c r="W10" s="313">
        <f t="shared" si="0"/>
        <v>139</v>
      </c>
      <c r="X10" s="313">
        <f t="shared" si="1"/>
        <v>139</v>
      </c>
      <c r="Y10" s="313">
        <f t="shared" si="3"/>
        <v>0</v>
      </c>
      <c r="Z10" s="313">
        <f t="shared" si="4"/>
        <v>0</v>
      </c>
    </row>
    <row r="11" spans="1:29">
      <c r="A11" s="313" t="s">
        <v>260</v>
      </c>
      <c r="B11" s="313" t="s">
        <v>245</v>
      </c>
      <c r="C11" s="313" t="s">
        <v>246</v>
      </c>
      <c r="D11" s="313" t="s">
        <v>251</v>
      </c>
      <c r="E11" s="313">
        <v>1.8200000000000003</v>
      </c>
      <c r="F11" s="313">
        <v>8.6</v>
      </c>
      <c r="G11" s="326">
        <v>5.21</v>
      </c>
      <c r="H11" s="313">
        <v>7.65</v>
      </c>
      <c r="I11" s="313">
        <v>8.33</v>
      </c>
      <c r="J11" s="313">
        <v>6.41</v>
      </c>
      <c r="K11" s="313">
        <v>8.57</v>
      </c>
      <c r="L11" s="326">
        <v>7.6239999999999997</v>
      </c>
      <c r="M11" s="313">
        <v>7.6099999999999994</v>
      </c>
      <c r="N11" s="313">
        <v>7.6099999999999994</v>
      </c>
      <c r="O11" s="313">
        <v>8.2100000000000009</v>
      </c>
      <c r="P11" s="326">
        <v>7.81</v>
      </c>
      <c r="Q11" s="324">
        <v>6.8813333333333331</v>
      </c>
      <c r="R11" s="313">
        <v>9.9333333333333336</v>
      </c>
      <c r="S11" s="313">
        <v>9.3000000000000007</v>
      </c>
      <c r="T11" s="313">
        <v>9.6999999999999993</v>
      </c>
      <c r="U11" s="313">
        <v>7.1865333333333332</v>
      </c>
      <c r="V11" s="325">
        <f t="shared" si="2"/>
        <v>6.8078305609731444</v>
      </c>
      <c r="W11" s="313">
        <f t="shared" si="0"/>
        <v>138</v>
      </c>
      <c r="X11" s="313">
        <f t="shared" si="1"/>
        <v>138</v>
      </c>
      <c r="Y11" s="313">
        <f t="shared" si="3"/>
        <v>0</v>
      </c>
      <c r="Z11" s="313">
        <f t="shared" si="4"/>
        <v>0</v>
      </c>
    </row>
    <row r="12" spans="1:29">
      <c r="A12" s="313" t="s">
        <v>261</v>
      </c>
      <c r="B12" s="313" t="s">
        <v>245</v>
      </c>
      <c r="C12" s="313" t="s">
        <v>246</v>
      </c>
      <c r="D12" s="313" t="s">
        <v>249</v>
      </c>
      <c r="E12" s="313">
        <v>3.2</v>
      </c>
      <c r="F12" s="313">
        <v>8.6</v>
      </c>
      <c r="G12" s="326">
        <v>5.9</v>
      </c>
      <c r="H12" s="313">
        <v>9</v>
      </c>
      <c r="I12" s="313">
        <v>7.25</v>
      </c>
      <c r="J12" s="313">
        <v>7.2200000000000006</v>
      </c>
      <c r="K12" s="313">
        <v>6.51</v>
      </c>
      <c r="L12" s="326">
        <v>7.8179999999999996</v>
      </c>
      <c r="M12" s="313">
        <v>6.63</v>
      </c>
      <c r="N12" s="313">
        <v>6.79</v>
      </c>
      <c r="O12" s="313">
        <v>5.53</v>
      </c>
      <c r="P12" s="326">
        <v>6.3166666666666664</v>
      </c>
      <c r="Q12" s="324">
        <v>6.6782222222222218</v>
      </c>
      <c r="R12" s="313">
        <v>9.9333333333333336</v>
      </c>
      <c r="S12" s="313">
        <v>8.6999999999999993</v>
      </c>
      <c r="T12" s="313">
        <v>9.6</v>
      </c>
      <c r="U12" s="313">
        <v>7.003733333333332</v>
      </c>
      <c r="V12" s="325">
        <f t="shared" si="2"/>
        <v>6.6454768212092841</v>
      </c>
      <c r="W12" s="313">
        <f t="shared" si="0"/>
        <v>137</v>
      </c>
      <c r="X12" s="313">
        <f t="shared" si="1"/>
        <v>137</v>
      </c>
      <c r="Y12" s="313">
        <f t="shared" si="3"/>
        <v>0</v>
      </c>
      <c r="Z12" s="313">
        <f t="shared" si="4"/>
        <v>0</v>
      </c>
    </row>
    <row r="13" spans="1:29">
      <c r="A13" s="313" t="s">
        <v>262</v>
      </c>
      <c r="B13" s="313" t="s">
        <v>245</v>
      </c>
      <c r="C13" s="313" t="s">
        <v>263</v>
      </c>
      <c r="D13" s="313" t="s">
        <v>254</v>
      </c>
      <c r="E13" s="313">
        <v>4.01</v>
      </c>
      <c r="F13" s="313">
        <v>6.08</v>
      </c>
      <c r="G13" s="326">
        <v>5.0449999999999999</v>
      </c>
      <c r="H13" s="313">
        <v>8.42</v>
      </c>
      <c r="I13" s="313">
        <v>8.44</v>
      </c>
      <c r="J13" s="313">
        <v>6.2</v>
      </c>
      <c r="K13" s="313">
        <v>7.88</v>
      </c>
      <c r="L13" s="326">
        <v>7.8449999999999998</v>
      </c>
      <c r="M13" s="313">
        <v>7.55</v>
      </c>
      <c r="N13" s="313">
        <v>6.84</v>
      </c>
      <c r="O13" s="313">
        <v>6.65</v>
      </c>
      <c r="P13" s="326">
        <v>7.0133333333333328</v>
      </c>
      <c r="Q13" s="324">
        <v>6.6344444444444441</v>
      </c>
      <c r="R13" s="313">
        <v>9.9333333333333336</v>
      </c>
      <c r="S13" s="313">
        <v>1</v>
      </c>
      <c r="T13" s="313">
        <v>8</v>
      </c>
      <c r="U13" s="313">
        <v>6.9643333333333333</v>
      </c>
      <c r="V13" s="325">
        <f t="shared" si="2"/>
        <v>6.5610287887979846</v>
      </c>
      <c r="W13" s="313">
        <f t="shared" si="0"/>
        <v>136</v>
      </c>
      <c r="X13" s="313">
        <f t="shared" si="1"/>
        <v>135</v>
      </c>
      <c r="Y13" s="313">
        <f t="shared" si="3"/>
        <v>1</v>
      </c>
      <c r="Z13" s="313">
        <f t="shared" si="4"/>
        <v>1</v>
      </c>
    </row>
    <row r="14" spans="1:29">
      <c r="A14" s="313" t="s">
        <v>272</v>
      </c>
      <c r="D14" s="313" t="s">
        <v>254</v>
      </c>
      <c r="E14" s="313">
        <v>2.9400000000000004</v>
      </c>
      <c r="F14" s="313">
        <v>6.65</v>
      </c>
      <c r="G14" s="326">
        <v>4.7949999999999999</v>
      </c>
      <c r="H14" s="313">
        <v>9.7100000000000009</v>
      </c>
      <c r="I14" s="313">
        <v>8.5500000000000007</v>
      </c>
      <c r="J14" s="313">
        <v>5.5</v>
      </c>
      <c r="K14" s="313">
        <v>6.58</v>
      </c>
      <c r="L14" s="326">
        <v>8.0950000000000006</v>
      </c>
      <c r="M14" s="313">
        <v>7.1</v>
      </c>
      <c r="N14" s="313">
        <v>7.95</v>
      </c>
      <c r="O14" s="313">
        <v>5.58</v>
      </c>
      <c r="P14" s="326">
        <v>6.8766666666666678</v>
      </c>
      <c r="Q14" s="324">
        <v>6.5888888888888895</v>
      </c>
      <c r="R14" s="313">
        <v>5.6333333333333337</v>
      </c>
      <c r="S14" s="313">
        <v>4.5999999999999996</v>
      </c>
      <c r="T14" s="313">
        <v>6.4</v>
      </c>
      <c r="U14" s="313">
        <v>6.4933333333333332</v>
      </c>
      <c r="V14" s="325">
        <f t="shared" si="2"/>
        <v>6.4896545720832934</v>
      </c>
      <c r="W14" s="313">
        <f t="shared" si="0"/>
        <v>135</v>
      </c>
      <c r="X14" s="313">
        <f t="shared" si="1"/>
        <v>134</v>
      </c>
      <c r="Y14" s="313">
        <f t="shared" si="3"/>
        <v>1</v>
      </c>
      <c r="Z14" s="313">
        <f t="shared" si="4"/>
        <v>1</v>
      </c>
    </row>
    <row r="15" spans="1:29">
      <c r="A15" s="313" t="s">
        <v>275</v>
      </c>
      <c r="D15" s="313" t="s">
        <v>256</v>
      </c>
      <c r="E15" s="313">
        <v>8.59</v>
      </c>
      <c r="F15" s="313">
        <v>5.82</v>
      </c>
      <c r="G15" s="326">
        <v>7.2050000000000001</v>
      </c>
      <c r="H15" s="313">
        <v>7.16</v>
      </c>
      <c r="I15" s="313">
        <v>7.59</v>
      </c>
      <c r="J15" s="313">
        <v>4.41</v>
      </c>
      <c r="K15" s="313">
        <v>6.42</v>
      </c>
      <c r="L15" s="326">
        <v>6.5859999999999994</v>
      </c>
      <c r="M15" s="313">
        <v>5.98</v>
      </c>
      <c r="N15" s="313">
        <v>6.7</v>
      </c>
      <c r="O15" s="313">
        <v>5.12</v>
      </c>
      <c r="P15" s="326">
        <v>5.9333333333333336</v>
      </c>
      <c r="Q15" s="324">
        <v>6.5747777777777783</v>
      </c>
      <c r="R15" s="313">
        <v>3</v>
      </c>
      <c r="S15" s="313">
        <v>8.6999999999999993</v>
      </c>
      <c r="T15" s="313">
        <v>7.2</v>
      </c>
      <c r="U15" s="313">
        <v>6.2172999999999998</v>
      </c>
      <c r="V15" s="325">
        <f t="shared" si="2"/>
        <v>6.5610524786059372</v>
      </c>
      <c r="W15" s="313">
        <f t="shared" si="0"/>
        <v>134</v>
      </c>
      <c r="X15" s="313">
        <f t="shared" si="1"/>
        <v>136</v>
      </c>
      <c r="Y15" s="313">
        <f t="shared" si="3"/>
        <v>-2</v>
      </c>
      <c r="Z15" s="313">
        <f t="shared" si="4"/>
        <v>2</v>
      </c>
    </row>
    <row r="16" spans="1:29">
      <c r="A16" s="313" t="s">
        <v>264</v>
      </c>
      <c r="B16" s="313" t="s">
        <v>245</v>
      </c>
      <c r="C16" s="313" t="s">
        <v>265</v>
      </c>
      <c r="D16" s="313" t="s">
        <v>256</v>
      </c>
      <c r="E16" s="313">
        <v>6.93</v>
      </c>
      <c r="F16" s="313">
        <v>5.69</v>
      </c>
      <c r="G16" s="326">
        <v>6.3100000000000005</v>
      </c>
      <c r="H16" s="313">
        <v>7.23</v>
      </c>
      <c r="I16" s="313">
        <v>7.2200000000000006</v>
      </c>
      <c r="J16" s="313">
        <v>5.23</v>
      </c>
      <c r="K16" s="313">
        <v>6</v>
      </c>
      <c r="L16" s="326">
        <v>6.665</v>
      </c>
      <c r="M16" s="313">
        <v>6.2799999999999994</v>
      </c>
      <c r="N16" s="313">
        <v>6.4399999999999995</v>
      </c>
      <c r="O16" s="313">
        <v>6.68</v>
      </c>
      <c r="P16" s="326">
        <v>6.4666666666666659</v>
      </c>
      <c r="Q16" s="324">
        <v>6.4805555555555552</v>
      </c>
      <c r="R16" s="313">
        <v>9.9333333333333336</v>
      </c>
      <c r="S16" s="313">
        <v>9.6999999999999993</v>
      </c>
      <c r="T16" s="313">
        <v>9.8000000000000007</v>
      </c>
      <c r="U16" s="313">
        <v>6.8258333333333328</v>
      </c>
      <c r="V16" s="325">
        <f t="shared" si="2"/>
        <v>6.4794719109733894</v>
      </c>
      <c r="W16" s="313">
        <f t="shared" si="0"/>
        <v>133</v>
      </c>
      <c r="X16" s="313">
        <f t="shared" si="1"/>
        <v>133</v>
      </c>
      <c r="Y16" s="313">
        <f t="shared" si="3"/>
        <v>0</v>
      </c>
      <c r="Z16" s="313">
        <f t="shared" si="4"/>
        <v>0</v>
      </c>
    </row>
    <row r="17" spans="1:26">
      <c r="A17" s="313" t="s">
        <v>267</v>
      </c>
      <c r="B17" s="313" t="s">
        <v>245</v>
      </c>
      <c r="C17" s="313" t="s">
        <v>246</v>
      </c>
      <c r="D17" s="313" t="s">
        <v>268</v>
      </c>
      <c r="E17" s="313">
        <v>6.8900000000000006</v>
      </c>
      <c r="F17" s="313">
        <v>6.01</v>
      </c>
      <c r="G17" s="326">
        <v>6.45</v>
      </c>
      <c r="H17" s="313">
        <v>8.35</v>
      </c>
      <c r="I17" s="313">
        <v>8.31</v>
      </c>
      <c r="J17" s="313">
        <v>1.6999999999999993</v>
      </c>
      <c r="K17" s="313">
        <v>7.96</v>
      </c>
      <c r="L17" s="326">
        <v>6.653999999999999</v>
      </c>
      <c r="M17" s="313">
        <v>6.4</v>
      </c>
      <c r="N17" s="313">
        <v>7.27</v>
      </c>
      <c r="O17" s="313">
        <v>5.2</v>
      </c>
      <c r="P17" s="326">
        <v>6.29</v>
      </c>
      <c r="Q17" s="324">
        <v>6.4646666666666661</v>
      </c>
      <c r="R17" s="313">
        <v>9.2666666666666657</v>
      </c>
      <c r="S17" s="313">
        <v>9.6999999999999993</v>
      </c>
      <c r="T17" s="313">
        <v>9.3000000000000007</v>
      </c>
      <c r="U17" s="313">
        <v>6.7448666666666659</v>
      </c>
      <c r="V17" s="325">
        <f t="shared" si="2"/>
        <v>6.4635243671519698</v>
      </c>
      <c r="W17" s="313">
        <f t="shared" si="0"/>
        <v>132</v>
      </c>
      <c r="X17" s="313">
        <f t="shared" si="1"/>
        <v>132</v>
      </c>
      <c r="Y17" s="313">
        <f t="shared" si="3"/>
        <v>0</v>
      </c>
      <c r="Z17" s="313">
        <f t="shared" si="4"/>
        <v>0</v>
      </c>
    </row>
    <row r="18" spans="1:26">
      <c r="A18" s="313" t="s">
        <v>266</v>
      </c>
      <c r="B18" s="313" t="s">
        <v>245</v>
      </c>
      <c r="C18" s="313" t="s">
        <v>246</v>
      </c>
      <c r="D18" s="313" t="s">
        <v>247</v>
      </c>
      <c r="E18" s="313">
        <v>2.13</v>
      </c>
      <c r="F18" s="313">
        <v>8.07</v>
      </c>
      <c r="G18" s="326">
        <v>5.0999999999999996</v>
      </c>
      <c r="H18" s="313">
        <v>8.25</v>
      </c>
      <c r="I18" s="313">
        <v>8.26</v>
      </c>
      <c r="J18" s="313">
        <v>6.2799999999999994</v>
      </c>
      <c r="K18" s="313">
        <v>6.4700000000000006</v>
      </c>
      <c r="L18" s="326">
        <v>7.6719999999999997</v>
      </c>
      <c r="M18" s="313">
        <v>7.1099999999999994</v>
      </c>
      <c r="N18" s="313">
        <v>6.88</v>
      </c>
      <c r="O18" s="313">
        <v>5.54</v>
      </c>
      <c r="P18" s="326">
        <v>6.5099999999999989</v>
      </c>
      <c r="Q18" s="324">
        <v>6.4273333333333325</v>
      </c>
      <c r="R18" s="313">
        <v>9.9333333333333336</v>
      </c>
      <c r="S18" s="313">
        <v>6.2</v>
      </c>
      <c r="T18" s="313">
        <v>9.1</v>
      </c>
      <c r="U18" s="313">
        <v>6.7779333333333325</v>
      </c>
      <c r="V18" s="325">
        <f t="shared" si="2"/>
        <v>6.3686500981846681</v>
      </c>
      <c r="W18" s="313">
        <f t="shared" si="0"/>
        <v>131</v>
      </c>
      <c r="X18" s="313">
        <f t="shared" si="1"/>
        <v>131</v>
      </c>
      <c r="Y18" s="313">
        <f t="shared" si="3"/>
        <v>0</v>
      </c>
      <c r="Z18" s="313">
        <f t="shared" si="4"/>
        <v>0</v>
      </c>
    </row>
    <row r="19" spans="1:26">
      <c r="A19" s="313" t="s">
        <v>276</v>
      </c>
      <c r="C19" s="313" t="s">
        <v>265</v>
      </c>
      <c r="D19" s="313" t="s">
        <v>249</v>
      </c>
      <c r="E19" s="313">
        <v>4.41</v>
      </c>
      <c r="F19" s="313">
        <v>7.75</v>
      </c>
      <c r="G19" s="326">
        <v>6.08</v>
      </c>
      <c r="H19" s="313">
        <v>9.44</v>
      </c>
      <c r="I19" s="313">
        <v>6.17</v>
      </c>
      <c r="J19" s="313">
        <v>3.3499999999999996</v>
      </c>
      <c r="K19" s="313">
        <v>7.6400000000000006</v>
      </c>
      <c r="L19" s="326">
        <v>6.6829999999999998</v>
      </c>
      <c r="M19" s="313">
        <v>5.24</v>
      </c>
      <c r="N19" s="313">
        <v>7.23</v>
      </c>
      <c r="O19" s="313">
        <v>6.16</v>
      </c>
      <c r="P19" s="326">
        <v>6.2100000000000009</v>
      </c>
      <c r="Q19" s="324">
        <v>6.3243333333333327</v>
      </c>
      <c r="R19" s="313">
        <v>4.8666666666666671</v>
      </c>
      <c r="S19" s="313">
        <v>1.8</v>
      </c>
      <c r="T19" s="313">
        <v>6.6</v>
      </c>
      <c r="U19" s="313">
        <v>6.1785666666666659</v>
      </c>
      <c r="V19" s="325">
        <f t="shared" si="2"/>
        <v>6.320838573167169</v>
      </c>
      <c r="W19" s="313">
        <f t="shared" si="0"/>
        <v>130</v>
      </c>
      <c r="X19" s="313">
        <f t="shared" si="1"/>
        <v>130</v>
      </c>
      <c r="Y19" s="313">
        <f t="shared" si="3"/>
        <v>0</v>
      </c>
      <c r="Z19" s="313">
        <f t="shared" si="4"/>
        <v>0</v>
      </c>
    </row>
    <row r="20" spans="1:26">
      <c r="A20" s="313" t="s">
        <v>270</v>
      </c>
      <c r="B20" s="313" t="s">
        <v>245</v>
      </c>
      <c r="C20" s="313" t="s">
        <v>265</v>
      </c>
      <c r="D20" s="313" t="s">
        <v>254</v>
      </c>
      <c r="E20" s="313">
        <v>2.6500000000000004</v>
      </c>
      <c r="F20" s="313">
        <v>6.87</v>
      </c>
      <c r="G20" s="326">
        <v>4.76</v>
      </c>
      <c r="H20" s="313">
        <v>9.56</v>
      </c>
      <c r="I20" s="313">
        <v>7.6099999999999994</v>
      </c>
      <c r="J20" s="313">
        <v>6.08</v>
      </c>
      <c r="K20" s="313">
        <v>6.7200000000000006</v>
      </c>
      <c r="L20" s="326">
        <v>7.865499999999999</v>
      </c>
      <c r="M20" s="313">
        <v>4.93</v>
      </c>
      <c r="N20" s="313">
        <v>6.93</v>
      </c>
      <c r="O20" s="313">
        <v>6.71</v>
      </c>
      <c r="P20" s="326">
        <v>6.19</v>
      </c>
      <c r="Q20" s="324">
        <v>6.2718333333333334</v>
      </c>
      <c r="R20" s="313">
        <v>9.6</v>
      </c>
      <c r="S20" s="313">
        <v>3.1</v>
      </c>
      <c r="T20" s="313">
        <v>8.3000000000000007</v>
      </c>
      <c r="U20" s="313">
        <v>6.6046499999999995</v>
      </c>
      <c r="V20" s="325">
        <f t="shared" si="2"/>
        <v>6.1855850417784373</v>
      </c>
      <c r="W20" s="313">
        <f t="shared" si="0"/>
        <v>129</v>
      </c>
      <c r="X20" s="313">
        <f t="shared" si="1"/>
        <v>128</v>
      </c>
      <c r="Y20" s="313">
        <f t="shared" si="3"/>
        <v>1</v>
      </c>
      <c r="Z20" s="313">
        <f t="shared" si="4"/>
        <v>1</v>
      </c>
    </row>
    <row r="21" spans="1:26">
      <c r="A21" s="313" t="s">
        <v>271</v>
      </c>
      <c r="B21" s="313" t="s">
        <v>245</v>
      </c>
      <c r="C21" s="313" t="s">
        <v>265</v>
      </c>
      <c r="D21" s="313" t="s">
        <v>249</v>
      </c>
      <c r="E21" s="313">
        <v>2.95</v>
      </c>
      <c r="F21" s="313">
        <v>6.33</v>
      </c>
      <c r="G21" s="326">
        <v>4.6400000000000006</v>
      </c>
      <c r="H21" s="313">
        <v>9.48</v>
      </c>
      <c r="I21" s="313">
        <v>7.66</v>
      </c>
      <c r="J21" s="313">
        <v>4.55</v>
      </c>
      <c r="K21" s="313">
        <v>7.17</v>
      </c>
      <c r="L21" s="326">
        <v>7.495000000000001</v>
      </c>
      <c r="M21" s="313">
        <v>6.37</v>
      </c>
      <c r="N21" s="313">
        <v>7.4</v>
      </c>
      <c r="O21" s="313">
        <v>6.08</v>
      </c>
      <c r="P21" s="326">
        <v>6.6166666666666671</v>
      </c>
      <c r="Q21" s="324">
        <v>6.2505555555555565</v>
      </c>
      <c r="R21" s="313">
        <v>9.6</v>
      </c>
      <c r="S21" s="313">
        <v>6.2</v>
      </c>
      <c r="T21" s="313">
        <v>8.9</v>
      </c>
      <c r="U21" s="313">
        <v>6.5855000000000006</v>
      </c>
      <c r="V21" s="325">
        <f t="shared" si="2"/>
        <v>6.1696496819337305</v>
      </c>
      <c r="W21" s="313">
        <f t="shared" si="0"/>
        <v>128</v>
      </c>
      <c r="X21" s="313">
        <f t="shared" si="1"/>
        <v>127</v>
      </c>
      <c r="Y21" s="313">
        <f t="shared" si="3"/>
        <v>1</v>
      </c>
      <c r="Z21" s="313">
        <f t="shared" si="4"/>
        <v>1</v>
      </c>
    </row>
    <row r="22" spans="1:26">
      <c r="A22" s="313" t="s">
        <v>269</v>
      </c>
      <c r="B22" s="313" t="s">
        <v>245</v>
      </c>
      <c r="C22" s="313" t="s">
        <v>265</v>
      </c>
      <c r="D22" s="313" t="s">
        <v>251</v>
      </c>
      <c r="E22" s="313">
        <v>3.71</v>
      </c>
      <c r="F22" s="313">
        <v>7.58</v>
      </c>
      <c r="G22" s="326">
        <v>5.6449999999999996</v>
      </c>
      <c r="H22" s="313">
        <v>5.05</v>
      </c>
      <c r="I22" s="313">
        <v>6.26</v>
      </c>
      <c r="J22" s="313">
        <v>8.14</v>
      </c>
      <c r="K22" s="313">
        <v>5.73</v>
      </c>
      <c r="L22" s="326">
        <v>6.28</v>
      </c>
      <c r="M22" s="313">
        <v>8.32</v>
      </c>
      <c r="N22" s="313">
        <v>7.2200000000000006</v>
      </c>
      <c r="O22" s="313">
        <v>4.88</v>
      </c>
      <c r="P22" s="326">
        <v>6.8066666666666675</v>
      </c>
      <c r="Q22" s="324">
        <v>6.2438888888888897</v>
      </c>
      <c r="R22" s="313">
        <v>9.9333333333333336</v>
      </c>
      <c r="S22" s="313">
        <v>9.6999999999999993</v>
      </c>
      <c r="T22" s="313">
        <v>9.8000000000000007</v>
      </c>
      <c r="U22" s="313">
        <v>6.6128333333333336</v>
      </c>
      <c r="V22" s="325">
        <f t="shared" si="2"/>
        <v>6.2317577978181822</v>
      </c>
      <c r="W22" s="313">
        <f t="shared" si="0"/>
        <v>127</v>
      </c>
      <c r="X22" s="313">
        <f t="shared" si="1"/>
        <v>129</v>
      </c>
      <c r="Y22" s="313">
        <f t="shared" si="3"/>
        <v>-2</v>
      </c>
      <c r="Z22" s="313">
        <f t="shared" si="4"/>
        <v>2</v>
      </c>
    </row>
    <row r="23" spans="1:26">
      <c r="A23" s="313" t="s">
        <v>283</v>
      </c>
      <c r="D23" s="313" t="s">
        <v>256</v>
      </c>
      <c r="E23" s="313">
        <v>8.4499999999999993</v>
      </c>
      <c r="F23" s="313">
        <v>6.25</v>
      </c>
      <c r="G23" s="326">
        <v>7.35</v>
      </c>
      <c r="H23" s="313">
        <v>7.3599999999999994</v>
      </c>
      <c r="I23" s="313">
        <v>6.88</v>
      </c>
      <c r="J23" s="313">
        <v>3.5999999999999996</v>
      </c>
      <c r="K23" s="313">
        <v>6.62</v>
      </c>
      <c r="L23" s="326">
        <v>6.2150000000000007</v>
      </c>
      <c r="M23" s="313">
        <v>4.0599999999999996</v>
      </c>
      <c r="N23" s="313">
        <v>5.15</v>
      </c>
      <c r="O23" s="313">
        <v>5.92</v>
      </c>
      <c r="P23" s="326">
        <v>5.0433333333333339</v>
      </c>
      <c r="Q23" s="324">
        <v>6.2027777777777784</v>
      </c>
      <c r="R23" s="313">
        <v>3</v>
      </c>
      <c r="S23" s="313">
        <v>0.2</v>
      </c>
      <c r="T23" s="313">
        <v>5.5</v>
      </c>
      <c r="U23" s="313">
        <v>5.8824999999999994</v>
      </c>
      <c r="V23" s="325">
        <f t="shared" si="2"/>
        <v>6.1545409057440805</v>
      </c>
      <c r="W23" s="313">
        <f t="shared" si="0"/>
        <v>126</v>
      </c>
      <c r="X23" s="313">
        <f t="shared" si="1"/>
        <v>126</v>
      </c>
      <c r="Y23" s="313">
        <f t="shared" si="3"/>
        <v>0</v>
      </c>
      <c r="Z23" s="313">
        <f t="shared" si="4"/>
        <v>0</v>
      </c>
    </row>
    <row r="24" spans="1:26">
      <c r="A24" s="313" t="s">
        <v>282</v>
      </c>
      <c r="D24" s="313" t="s">
        <v>249</v>
      </c>
      <c r="E24" s="313">
        <v>2.2800000000000002</v>
      </c>
      <c r="F24" s="313">
        <v>6.73</v>
      </c>
      <c r="G24" s="326">
        <v>4.5050000000000008</v>
      </c>
      <c r="H24" s="313">
        <v>8.5399999999999991</v>
      </c>
      <c r="I24" s="313">
        <v>8.61</v>
      </c>
      <c r="J24" s="313">
        <v>4.17</v>
      </c>
      <c r="K24" s="313">
        <v>7.62</v>
      </c>
      <c r="L24" s="326">
        <v>7.4260000000000002</v>
      </c>
      <c r="M24" s="313">
        <v>6.59</v>
      </c>
      <c r="N24" s="313">
        <v>7.99</v>
      </c>
      <c r="O24" s="313">
        <v>5.36</v>
      </c>
      <c r="P24" s="326">
        <v>6.6466666666666674</v>
      </c>
      <c r="Q24" s="324">
        <v>6.1925555555555567</v>
      </c>
      <c r="R24" s="313">
        <v>3.7666666666666666</v>
      </c>
      <c r="S24" s="313">
        <v>6.2</v>
      </c>
      <c r="T24" s="313">
        <v>6.7</v>
      </c>
      <c r="U24" s="313">
        <v>5.9499666666666666</v>
      </c>
      <c r="V24" s="325">
        <f t="shared" si="2"/>
        <v>6.1041984910437872</v>
      </c>
      <c r="W24" s="313">
        <f t="shared" si="0"/>
        <v>125</v>
      </c>
      <c r="X24" s="313">
        <f t="shared" si="1"/>
        <v>125</v>
      </c>
      <c r="Y24" s="313">
        <f t="shared" si="3"/>
        <v>0</v>
      </c>
      <c r="Z24" s="313">
        <f t="shared" si="4"/>
        <v>0</v>
      </c>
    </row>
    <row r="25" spans="1:26">
      <c r="A25" s="313" t="s">
        <v>281</v>
      </c>
      <c r="D25" s="313" t="s">
        <v>247</v>
      </c>
      <c r="E25" s="313">
        <v>2.5</v>
      </c>
      <c r="F25" s="313">
        <v>4.74</v>
      </c>
      <c r="G25" s="326">
        <v>3.62</v>
      </c>
      <c r="H25" s="313">
        <v>9.43</v>
      </c>
      <c r="I25" s="313">
        <v>8.98</v>
      </c>
      <c r="J25" s="313">
        <v>3.2300000000000004</v>
      </c>
      <c r="K25" s="313">
        <v>6.87</v>
      </c>
      <c r="L25" s="326">
        <v>7.5944999999999991</v>
      </c>
      <c r="M25" s="313">
        <v>6.51</v>
      </c>
      <c r="N25" s="313">
        <v>7</v>
      </c>
      <c r="O25" s="313">
        <v>8.02</v>
      </c>
      <c r="P25" s="326">
        <v>7.1766666666666667</v>
      </c>
      <c r="Q25" s="324">
        <v>6.1303888888888887</v>
      </c>
      <c r="R25" s="313">
        <v>4.5333333333333332</v>
      </c>
      <c r="S25" s="313">
        <v>8.6999999999999993</v>
      </c>
      <c r="T25" s="313">
        <v>6.2</v>
      </c>
      <c r="U25" s="313">
        <v>5.9706833333333336</v>
      </c>
      <c r="V25" s="325">
        <f t="shared" si="2"/>
        <v>5.9296202414618637</v>
      </c>
      <c r="W25" s="313">
        <f t="shared" si="0"/>
        <v>124</v>
      </c>
      <c r="X25" s="313">
        <f t="shared" si="1"/>
        <v>120</v>
      </c>
      <c r="Y25" s="313">
        <f t="shared" si="3"/>
        <v>4</v>
      </c>
      <c r="Z25" s="313">
        <f t="shared" si="4"/>
        <v>4</v>
      </c>
    </row>
    <row r="26" spans="1:26">
      <c r="A26" s="313" t="s">
        <v>273</v>
      </c>
      <c r="B26" s="313" t="s">
        <v>245</v>
      </c>
      <c r="C26" s="313" t="s">
        <v>246</v>
      </c>
      <c r="D26" s="313" t="s">
        <v>249</v>
      </c>
      <c r="E26" s="313">
        <v>3.12</v>
      </c>
      <c r="F26" s="313">
        <v>5.34</v>
      </c>
      <c r="G26" s="326">
        <v>4.2300000000000004</v>
      </c>
      <c r="H26" s="313">
        <v>9.39</v>
      </c>
      <c r="I26" s="313">
        <v>8.41</v>
      </c>
      <c r="J26" s="313">
        <v>2.0700000000000003</v>
      </c>
      <c r="K26" s="313">
        <v>9.18</v>
      </c>
      <c r="L26" s="326">
        <v>7.2065000000000001</v>
      </c>
      <c r="M26" s="313">
        <v>5.68</v>
      </c>
      <c r="N26" s="313">
        <v>8.02</v>
      </c>
      <c r="O26" s="313">
        <v>7.15</v>
      </c>
      <c r="P26" s="326">
        <v>6.95</v>
      </c>
      <c r="Q26" s="324">
        <v>6.1288333333333336</v>
      </c>
      <c r="R26" s="313">
        <v>9.2666666666666657</v>
      </c>
      <c r="S26" s="313">
        <v>6.2</v>
      </c>
      <c r="T26" s="313">
        <v>8.6</v>
      </c>
      <c r="U26" s="313">
        <v>6.4426166666666669</v>
      </c>
      <c r="V26" s="325">
        <f t="shared" si="2"/>
        <v>6.0192530520185228</v>
      </c>
      <c r="W26" s="313">
        <f t="shared" si="0"/>
        <v>123</v>
      </c>
      <c r="X26" s="313">
        <f t="shared" si="1"/>
        <v>122</v>
      </c>
      <c r="Y26" s="313">
        <f t="shared" si="3"/>
        <v>1</v>
      </c>
      <c r="Z26" s="313">
        <f t="shared" si="4"/>
        <v>1</v>
      </c>
    </row>
    <row r="27" spans="1:26">
      <c r="A27" s="313" t="s">
        <v>279</v>
      </c>
      <c r="D27" s="313" t="s">
        <v>247</v>
      </c>
      <c r="E27" s="313">
        <v>4.1399999999999997</v>
      </c>
      <c r="F27" s="313">
        <v>4.51</v>
      </c>
      <c r="G27" s="326">
        <v>4.3249999999999993</v>
      </c>
      <c r="H27" s="313">
        <v>9.7799999999999994</v>
      </c>
      <c r="I27" s="313">
        <v>8.76</v>
      </c>
      <c r="J27" s="313">
        <v>2.5499999999999998</v>
      </c>
      <c r="K27" s="313">
        <v>8.09</v>
      </c>
      <c r="L27" s="326">
        <v>7.5309999999999988</v>
      </c>
      <c r="M27" s="313">
        <v>4.4400000000000004</v>
      </c>
      <c r="N27" s="313">
        <v>7.46</v>
      </c>
      <c r="O27" s="313">
        <v>7.52</v>
      </c>
      <c r="P27" s="326">
        <v>6.4733333333333336</v>
      </c>
      <c r="Q27" s="324">
        <v>6.1097777777777766</v>
      </c>
      <c r="R27" s="313">
        <v>5.9666666666666668</v>
      </c>
      <c r="S27" s="313">
        <v>8.6999999999999993</v>
      </c>
      <c r="T27" s="313">
        <v>8</v>
      </c>
      <c r="U27" s="313">
        <v>6.0954666666666659</v>
      </c>
      <c r="V27" s="325">
        <f t="shared" si="2"/>
        <v>6.0057598905619161</v>
      </c>
      <c r="W27" s="313">
        <f t="shared" si="0"/>
        <v>122</v>
      </c>
      <c r="X27" s="313">
        <f t="shared" si="1"/>
        <v>121</v>
      </c>
      <c r="Y27" s="313">
        <f t="shared" si="3"/>
        <v>1</v>
      </c>
      <c r="Z27" s="313">
        <f t="shared" si="4"/>
        <v>1</v>
      </c>
    </row>
    <row r="28" spans="1:26">
      <c r="A28" s="313" t="s">
        <v>287</v>
      </c>
      <c r="C28" s="313" t="s">
        <v>265</v>
      </c>
      <c r="D28" s="313" t="s">
        <v>256</v>
      </c>
      <c r="E28" s="313">
        <v>5.58</v>
      </c>
      <c r="F28" s="313">
        <v>4.6100000000000003</v>
      </c>
      <c r="G28" s="326">
        <v>5.0950000000000006</v>
      </c>
      <c r="H28" s="313">
        <v>7.74</v>
      </c>
      <c r="I28" s="313">
        <v>6.26</v>
      </c>
      <c r="J28" s="313">
        <v>2.92</v>
      </c>
      <c r="K28" s="313">
        <v>7.32</v>
      </c>
      <c r="L28" s="326">
        <v>5.9960000000000004</v>
      </c>
      <c r="M28" s="313">
        <v>5.71</v>
      </c>
      <c r="N28" s="313">
        <v>6.82</v>
      </c>
      <c r="O28" s="313">
        <v>9.02</v>
      </c>
      <c r="P28" s="326">
        <v>7.1833333333333336</v>
      </c>
      <c r="Q28" s="324">
        <v>6.0914444444444449</v>
      </c>
      <c r="R28" s="313">
        <v>2.6666666666666665</v>
      </c>
      <c r="S28" s="313">
        <v>9.6999999999999993</v>
      </c>
      <c r="T28" s="313">
        <v>6.5</v>
      </c>
      <c r="U28" s="313">
        <v>5.748966666666667</v>
      </c>
      <c r="V28" s="325">
        <f t="shared" si="2"/>
        <v>6.0515928726138766</v>
      </c>
      <c r="W28" s="313">
        <f t="shared" si="0"/>
        <v>121</v>
      </c>
      <c r="X28" s="313">
        <f t="shared" si="1"/>
        <v>124</v>
      </c>
      <c r="Y28" s="313">
        <f t="shared" si="3"/>
        <v>-3</v>
      </c>
      <c r="Z28" s="313">
        <f t="shared" si="4"/>
        <v>3</v>
      </c>
    </row>
    <row r="29" spans="1:26">
      <c r="A29" s="313" t="s">
        <v>274</v>
      </c>
      <c r="B29" s="313" t="s">
        <v>245</v>
      </c>
      <c r="C29" s="313" t="s">
        <v>246</v>
      </c>
      <c r="D29" s="313" t="s">
        <v>256</v>
      </c>
      <c r="E29" s="313">
        <v>9.7899999999999991</v>
      </c>
      <c r="F29" s="313">
        <v>7.29</v>
      </c>
      <c r="G29" s="326">
        <v>8.5399999999999991</v>
      </c>
      <c r="H29" s="313">
        <v>5.55</v>
      </c>
      <c r="I29" s="313">
        <v>5.37</v>
      </c>
      <c r="J29" s="313">
        <v>1.5500000000000007</v>
      </c>
      <c r="K29" s="313">
        <v>3.91</v>
      </c>
      <c r="L29" s="326">
        <v>4.4050000000000002</v>
      </c>
      <c r="M29" s="313">
        <v>4</v>
      </c>
      <c r="N29" s="313">
        <v>6.1899999999999995</v>
      </c>
      <c r="O29" s="313">
        <v>5.45</v>
      </c>
      <c r="P29" s="326">
        <v>5.2133333333333338</v>
      </c>
      <c r="Q29" s="324">
        <v>6.052777777777778</v>
      </c>
      <c r="R29" s="313">
        <v>9.9333333333333336</v>
      </c>
      <c r="S29" s="313">
        <v>8.6999999999999993</v>
      </c>
      <c r="T29" s="313">
        <v>9.6</v>
      </c>
      <c r="U29" s="313">
        <v>6.440833333333333</v>
      </c>
      <c r="V29" s="325">
        <f t="shared" si="2"/>
        <v>5.8880509311343827</v>
      </c>
      <c r="W29" s="313">
        <f t="shared" si="0"/>
        <v>120</v>
      </c>
      <c r="X29" s="313">
        <f t="shared" si="1"/>
        <v>118</v>
      </c>
      <c r="Y29" s="313">
        <f t="shared" si="3"/>
        <v>2</v>
      </c>
      <c r="Z29" s="313">
        <f t="shared" si="4"/>
        <v>2</v>
      </c>
    </row>
    <row r="30" spans="1:26">
      <c r="A30" s="313" t="s">
        <v>280</v>
      </c>
      <c r="C30" s="313" t="s">
        <v>265</v>
      </c>
      <c r="D30" s="313" t="s">
        <v>247</v>
      </c>
      <c r="E30" s="313">
        <v>4.87</v>
      </c>
      <c r="F30" s="313">
        <v>5.61</v>
      </c>
      <c r="G30" s="326">
        <v>5.24</v>
      </c>
      <c r="H30" s="313">
        <v>7.42</v>
      </c>
      <c r="I30" s="313">
        <v>7.42</v>
      </c>
      <c r="J30" s="313">
        <v>1.9000000000000004</v>
      </c>
      <c r="K30" s="313">
        <v>8.4700000000000006</v>
      </c>
      <c r="L30" s="326">
        <v>6.0925000000000002</v>
      </c>
      <c r="M30" s="313">
        <v>6.27</v>
      </c>
      <c r="N30" s="313">
        <v>7.49</v>
      </c>
      <c r="O30" s="313">
        <v>6.67</v>
      </c>
      <c r="P30" s="326">
        <v>6.81</v>
      </c>
      <c r="Q30" s="324">
        <v>6.0474999999999994</v>
      </c>
      <c r="R30" s="313">
        <v>5.6333333333333337</v>
      </c>
      <c r="S30" s="313">
        <v>9.6999999999999993</v>
      </c>
      <c r="T30" s="313">
        <v>7.4</v>
      </c>
      <c r="U30" s="313">
        <v>6.0060833333333337</v>
      </c>
      <c r="V30" s="325">
        <f t="shared" si="2"/>
        <v>6.0245437601191272</v>
      </c>
      <c r="W30" s="313">
        <f t="shared" si="0"/>
        <v>119</v>
      </c>
      <c r="X30" s="313">
        <f t="shared" si="1"/>
        <v>123</v>
      </c>
      <c r="Y30" s="313">
        <f t="shared" si="3"/>
        <v>-4</v>
      </c>
      <c r="Z30" s="313">
        <f t="shared" si="4"/>
        <v>4</v>
      </c>
    </row>
    <row r="31" spans="1:26">
      <c r="A31" s="313" t="s">
        <v>284</v>
      </c>
      <c r="D31" s="313" t="s">
        <v>249</v>
      </c>
      <c r="E31" s="313">
        <v>4.05</v>
      </c>
      <c r="F31" s="313">
        <v>3.7699999999999996</v>
      </c>
      <c r="G31" s="326">
        <v>3.9099999999999997</v>
      </c>
      <c r="H31" s="313">
        <v>9.61</v>
      </c>
      <c r="I31" s="313">
        <v>7.18</v>
      </c>
      <c r="J31" s="313">
        <v>5.21</v>
      </c>
      <c r="K31" s="313">
        <v>6.34</v>
      </c>
      <c r="L31" s="326">
        <v>7.4960000000000004</v>
      </c>
      <c r="M31" s="313">
        <v>6.7799999999999994</v>
      </c>
      <c r="N31" s="313">
        <v>7.09</v>
      </c>
      <c r="O31" s="313">
        <v>6.25</v>
      </c>
      <c r="P31" s="326">
        <v>6.7066666666666661</v>
      </c>
      <c r="Q31" s="324">
        <v>6.0375555555555556</v>
      </c>
      <c r="R31" s="313">
        <v>3.7666666666666666</v>
      </c>
      <c r="S31" s="313">
        <v>6.2</v>
      </c>
      <c r="T31" s="313">
        <v>6.7</v>
      </c>
      <c r="U31" s="313">
        <v>5.8104666666666667</v>
      </c>
      <c r="V31" s="325">
        <f t="shared" si="2"/>
        <v>5.891557059350184</v>
      </c>
      <c r="W31" s="313">
        <f t="shared" si="0"/>
        <v>118</v>
      </c>
      <c r="X31" s="313">
        <f t="shared" si="1"/>
        <v>119</v>
      </c>
      <c r="Y31" s="313">
        <f t="shared" si="3"/>
        <v>-1</v>
      </c>
      <c r="Z31" s="313">
        <f t="shared" si="4"/>
        <v>1</v>
      </c>
    </row>
    <row r="32" spans="1:26">
      <c r="A32" s="313" t="s">
        <v>288</v>
      </c>
      <c r="D32" s="313" t="s">
        <v>254</v>
      </c>
      <c r="E32" s="313">
        <v>3.09</v>
      </c>
      <c r="F32" s="313">
        <v>3.5300000000000002</v>
      </c>
      <c r="G32" s="326">
        <v>3.31</v>
      </c>
      <c r="H32" s="313">
        <v>9.1300000000000008</v>
      </c>
      <c r="I32" s="313">
        <v>8.370000000000001</v>
      </c>
      <c r="J32" s="313">
        <v>7.7799999999999994</v>
      </c>
      <c r="K32" s="313">
        <v>6.7</v>
      </c>
      <c r="L32" s="326">
        <v>8.4050000000000011</v>
      </c>
      <c r="M32" s="313">
        <v>5.61</v>
      </c>
      <c r="N32" s="313">
        <v>7.2799999999999994</v>
      </c>
      <c r="O32" s="313">
        <v>6.12</v>
      </c>
      <c r="P32" s="326">
        <v>6.3366666666666669</v>
      </c>
      <c r="Q32" s="324">
        <v>6.0172222222222231</v>
      </c>
      <c r="R32" s="313">
        <v>2.3333333333333335</v>
      </c>
      <c r="S32" s="313">
        <v>1.8</v>
      </c>
      <c r="T32" s="313">
        <v>3.9</v>
      </c>
      <c r="U32" s="313">
        <v>5.6488333333333332</v>
      </c>
      <c r="V32" s="325">
        <f t="shared" si="2"/>
        <v>5.7481480937344278</v>
      </c>
      <c r="W32" s="313">
        <f t="shared" si="0"/>
        <v>117</v>
      </c>
      <c r="X32" s="313">
        <f t="shared" si="1"/>
        <v>116</v>
      </c>
      <c r="Y32" s="313">
        <f t="shared" si="3"/>
        <v>1</v>
      </c>
      <c r="Z32" s="313">
        <f t="shared" si="4"/>
        <v>1</v>
      </c>
    </row>
    <row r="33" spans="1:26">
      <c r="A33" s="313" t="s">
        <v>278</v>
      </c>
      <c r="B33" s="313" t="s">
        <v>245</v>
      </c>
      <c r="C33" s="313" t="s">
        <v>265</v>
      </c>
      <c r="D33" s="313" t="s">
        <v>249</v>
      </c>
      <c r="E33" s="313">
        <v>2.0700000000000003</v>
      </c>
      <c r="F33" s="313">
        <v>4.28</v>
      </c>
      <c r="G33" s="326">
        <v>3.1750000000000003</v>
      </c>
      <c r="H33" s="313">
        <v>8.620000000000001</v>
      </c>
      <c r="I33" s="313">
        <v>8.49</v>
      </c>
      <c r="J33" s="313">
        <v>5.28</v>
      </c>
      <c r="K33" s="313">
        <v>7.35</v>
      </c>
      <c r="L33" s="326">
        <v>7.6760000000000002</v>
      </c>
      <c r="M33" s="313">
        <v>6.15</v>
      </c>
      <c r="N33" s="313">
        <v>8.39</v>
      </c>
      <c r="O33" s="313">
        <v>6.52</v>
      </c>
      <c r="P33" s="326">
        <v>7.0200000000000005</v>
      </c>
      <c r="Q33" s="324">
        <v>5.9570000000000007</v>
      </c>
      <c r="R33" s="313">
        <v>7.7333333333333343</v>
      </c>
      <c r="S33" s="313">
        <v>7.6</v>
      </c>
      <c r="T33" s="313">
        <v>9.1999999999999993</v>
      </c>
      <c r="U33" s="313">
        <v>6.1346333333333334</v>
      </c>
      <c r="V33" s="325">
        <f t="shared" si="2"/>
        <v>5.6942436805576122</v>
      </c>
      <c r="W33" s="313">
        <f t="shared" si="0"/>
        <v>116</v>
      </c>
      <c r="X33" s="313">
        <f t="shared" si="1"/>
        <v>113</v>
      </c>
      <c r="Y33" s="313">
        <f t="shared" si="3"/>
        <v>3</v>
      </c>
      <c r="Z33" s="313">
        <f t="shared" si="4"/>
        <v>3</v>
      </c>
    </row>
    <row r="34" spans="1:26">
      <c r="A34" s="313" t="s">
        <v>277</v>
      </c>
      <c r="B34" s="313" t="s">
        <v>245</v>
      </c>
      <c r="C34" s="313" t="s">
        <v>246</v>
      </c>
      <c r="D34" s="313" t="s">
        <v>254</v>
      </c>
      <c r="E34" s="313">
        <v>1.2100000000000009</v>
      </c>
      <c r="F34" s="313">
        <v>6.38</v>
      </c>
      <c r="G34" s="326">
        <v>3.7950000000000004</v>
      </c>
      <c r="H34" s="313">
        <v>6.63</v>
      </c>
      <c r="I34" s="313">
        <v>8.83</v>
      </c>
      <c r="J34" s="313">
        <v>3.7800000000000002</v>
      </c>
      <c r="K34" s="313">
        <v>7.77</v>
      </c>
      <c r="L34" s="326">
        <v>6.7444999999999995</v>
      </c>
      <c r="M34" s="313">
        <v>7.8900000000000006</v>
      </c>
      <c r="N34" s="313">
        <v>6.77</v>
      </c>
      <c r="O34" s="313">
        <v>6.98</v>
      </c>
      <c r="P34" s="326">
        <v>7.2133333333333338</v>
      </c>
      <c r="Q34" s="324">
        <v>5.9176111111111114</v>
      </c>
      <c r="R34" s="313">
        <v>8.1666666666666661</v>
      </c>
      <c r="S34" s="313">
        <v>8.6999999999999993</v>
      </c>
      <c r="T34" s="313">
        <v>8.6</v>
      </c>
      <c r="U34" s="313">
        <v>6.1425166666666664</v>
      </c>
      <c r="V34" s="325">
        <f t="shared" si="2"/>
        <v>5.7717636464385143</v>
      </c>
      <c r="W34" s="313">
        <f t="shared" ref="W34:W65" si="5">RANK(Q34, Risk, 1)</f>
        <v>115</v>
      </c>
      <c r="X34" s="313">
        <f t="shared" ref="X34:X65" si="6">RANK(V34, RiskAggregAlt, 1)</f>
        <v>117</v>
      </c>
      <c r="Y34" s="313">
        <f t="shared" si="3"/>
        <v>-2</v>
      </c>
      <c r="Z34" s="313">
        <f t="shared" si="4"/>
        <v>2</v>
      </c>
    </row>
    <row r="35" spans="1:26">
      <c r="A35" s="313" t="s">
        <v>286</v>
      </c>
      <c r="D35" s="313" t="s">
        <v>254</v>
      </c>
      <c r="E35" s="313">
        <v>3.8899999999999997</v>
      </c>
      <c r="F35" s="313">
        <v>3.41</v>
      </c>
      <c r="G35" s="326">
        <v>3.65</v>
      </c>
      <c r="H35" s="313">
        <v>9.19</v>
      </c>
      <c r="I35" s="313">
        <v>8.1999999999999993</v>
      </c>
      <c r="J35" s="313">
        <v>5.3</v>
      </c>
      <c r="K35" s="313">
        <v>8.16</v>
      </c>
      <c r="L35" s="326">
        <v>7.8194999999999997</v>
      </c>
      <c r="M35" s="313">
        <v>4.12</v>
      </c>
      <c r="N35" s="313">
        <v>7.26</v>
      </c>
      <c r="O35" s="313">
        <v>7.12</v>
      </c>
      <c r="P35" s="326">
        <v>6.166666666666667</v>
      </c>
      <c r="Q35" s="324">
        <v>5.8787222222222226</v>
      </c>
      <c r="R35" s="313">
        <v>4.8666666666666671</v>
      </c>
      <c r="S35" s="313">
        <v>1</v>
      </c>
      <c r="T35" s="313">
        <v>5.6</v>
      </c>
      <c r="U35" s="313">
        <v>5.7775166666666671</v>
      </c>
      <c r="V35" s="325">
        <f t="shared" si="2"/>
        <v>5.697989584164457</v>
      </c>
      <c r="W35" s="313">
        <f t="shared" si="5"/>
        <v>114</v>
      </c>
      <c r="X35" s="313">
        <f t="shared" si="6"/>
        <v>114</v>
      </c>
      <c r="Y35" s="313">
        <f t="shared" si="3"/>
        <v>0</v>
      </c>
      <c r="Z35" s="313">
        <f t="shared" si="4"/>
        <v>0</v>
      </c>
    </row>
    <row r="36" spans="1:26">
      <c r="A36" s="313" t="s">
        <v>423</v>
      </c>
      <c r="D36" s="313" t="s">
        <v>249</v>
      </c>
      <c r="E36" s="313">
        <v>3.7300000000000004</v>
      </c>
      <c r="F36" s="313">
        <v>3.0599999999999996</v>
      </c>
      <c r="G36" s="326">
        <v>3.395</v>
      </c>
      <c r="H36" s="313">
        <v>7.92</v>
      </c>
      <c r="I36" s="313">
        <v>7.13</v>
      </c>
      <c r="J36" s="313">
        <v>5.39</v>
      </c>
      <c r="K36" s="313">
        <v>7</v>
      </c>
      <c r="L36" s="326">
        <v>6.9649999999999999</v>
      </c>
      <c r="M36" s="313">
        <v>7.01</v>
      </c>
      <c r="N36" s="313">
        <v>7.77</v>
      </c>
      <c r="O36" s="313">
        <v>6.13</v>
      </c>
      <c r="P36" s="326">
        <v>6.97</v>
      </c>
      <c r="Q36" s="324">
        <v>5.7766666666666664</v>
      </c>
      <c r="R36" s="313">
        <v>4.2</v>
      </c>
      <c r="S36" s="313">
        <v>3.1</v>
      </c>
      <c r="T36" s="313">
        <v>5.0999999999999996</v>
      </c>
      <c r="U36" s="313">
        <v>5.6189999999999998</v>
      </c>
      <c r="V36" s="325">
        <f t="shared" si="2"/>
        <v>5.5857119098504642</v>
      </c>
      <c r="W36" s="313">
        <f t="shared" si="5"/>
        <v>113</v>
      </c>
      <c r="X36" s="313">
        <f t="shared" si="6"/>
        <v>112</v>
      </c>
      <c r="Y36" s="313">
        <f t="shared" si="3"/>
        <v>1</v>
      </c>
      <c r="Z36" s="313">
        <f t="shared" si="4"/>
        <v>1</v>
      </c>
    </row>
    <row r="37" spans="1:26">
      <c r="A37" s="313" t="s">
        <v>285</v>
      </c>
      <c r="D37" s="313" t="s">
        <v>251</v>
      </c>
      <c r="E37" s="313">
        <v>5.37</v>
      </c>
      <c r="F37" s="313">
        <v>4.8600000000000003</v>
      </c>
      <c r="G37" s="326">
        <v>5.1150000000000002</v>
      </c>
      <c r="H37" s="313">
        <v>6.8100000000000005</v>
      </c>
      <c r="I37" s="313">
        <v>7.32</v>
      </c>
      <c r="J37" s="313">
        <v>2.67</v>
      </c>
      <c r="K37" s="313">
        <v>4.7699999999999996</v>
      </c>
      <c r="L37" s="326">
        <v>5.8514999999999997</v>
      </c>
      <c r="M37" s="313">
        <v>7.35</v>
      </c>
      <c r="N37" s="313">
        <v>7.3599999999999994</v>
      </c>
      <c r="O37" s="313">
        <v>4</v>
      </c>
      <c r="P37" s="326">
        <v>6.2366666666666672</v>
      </c>
      <c r="Q37" s="324">
        <v>5.7343888888888896</v>
      </c>
      <c r="R37" s="313">
        <v>6.3000000000000007</v>
      </c>
      <c r="S37" s="313">
        <v>8.6999999999999993</v>
      </c>
      <c r="T37" s="313">
        <v>8.6</v>
      </c>
      <c r="U37" s="313">
        <v>5.7909499999999996</v>
      </c>
      <c r="V37" s="325">
        <f t="shared" si="2"/>
        <v>5.7215576793542198</v>
      </c>
      <c r="W37" s="313">
        <f t="shared" si="5"/>
        <v>112</v>
      </c>
      <c r="X37" s="313">
        <f t="shared" si="6"/>
        <v>115</v>
      </c>
      <c r="Y37" s="313">
        <f t="shared" si="3"/>
        <v>-3</v>
      </c>
      <c r="Z37" s="313">
        <f t="shared" si="4"/>
        <v>3</v>
      </c>
    </row>
    <row r="38" spans="1:26">
      <c r="A38" s="313" t="s">
        <v>295</v>
      </c>
      <c r="D38" s="313" t="s">
        <v>256</v>
      </c>
      <c r="E38" s="313">
        <v>3.59</v>
      </c>
      <c r="F38" s="313">
        <v>4.26</v>
      </c>
      <c r="G38" s="326">
        <v>3.9249999999999998</v>
      </c>
      <c r="H38" s="313">
        <v>7.4</v>
      </c>
      <c r="I38" s="313">
        <v>7.52</v>
      </c>
      <c r="J38" s="313">
        <v>1.6799999999999997</v>
      </c>
      <c r="K38" s="313">
        <v>6.91</v>
      </c>
      <c r="L38" s="326">
        <v>5.9874999999999998</v>
      </c>
      <c r="M38" s="313">
        <v>7.62</v>
      </c>
      <c r="N38" s="313">
        <v>7.4399999999999995</v>
      </c>
      <c r="O38" s="313">
        <v>6</v>
      </c>
      <c r="P38" s="326">
        <v>7.02</v>
      </c>
      <c r="Q38" s="324">
        <v>5.6441666666666661</v>
      </c>
      <c r="R38" s="313">
        <v>4.5333333333333332</v>
      </c>
      <c r="S38" s="313">
        <v>6.2</v>
      </c>
      <c r="T38" s="313">
        <v>5.7</v>
      </c>
      <c r="U38" s="313">
        <v>5.5330833333333329</v>
      </c>
      <c r="V38" s="325">
        <f t="shared" si="2"/>
        <v>5.5390517346051231</v>
      </c>
      <c r="W38" s="313">
        <f t="shared" si="5"/>
        <v>111</v>
      </c>
      <c r="X38" s="313">
        <f t="shared" si="6"/>
        <v>108</v>
      </c>
      <c r="Y38" s="313">
        <f t="shared" si="3"/>
        <v>3</v>
      </c>
      <c r="Z38" s="313">
        <f t="shared" si="4"/>
        <v>3</v>
      </c>
    </row>
    <row r="39" spans="1:26">
      <c r="A39" s="313" t="s">
        <v>299</v>
      </c>
      <c r="D39" s="313" t="s">
        <v>249</v>
      </c>
      <c r="E39" s="313">
        <v>3.1799999999999997</v>
      </c>
      <c r="F39" s="313">
        <v>2.83</v>
      </c>
      <c r="G39" s="326">
        <v>3.0049999999999999</v>
      </c>
      <c r="H39" s="313">
        <v>9.24</v>
      </c>
      <c r="I39" s="313">
        <v>9.11</v>
      </c>
      <c r="J39" s="313">
        <v>3.9699999999999998</v>
      </c>
      <c r="K39" s="313">
        <v>7.88</v>
      </c>
      <c r="L39" s="326">
        <v>7.8089999999999993</v>
      </c>
      <c r="M39" s="313">
        <v>5.48</v>
      </c>
      <c r="N39" s="313">
        <v>7.08</v>
      </c>
      <c r="O39" s="313">
        <v>5.76</v>
      </c>
      <c r="P39" s="326">
        <v>6.1066666666666665</v>
      </c>
      <c r="Q39" s="324">
        <v>5.6402222222222216</v>
      </c>
      <c r="R39" s="313">
        <v>3.7666666666666666</v>
      </c>
      <c r="S39" s="313">
        <v>1</v>
      </c>
      <c r="T39" s="313">
        <v>5.6</v>
      </c>
      <c r="U39" s="313">
        <v>5.452866666666667</v>
      </c>
      <c r="V39" s="325">
        <f t="shared" si="2"/>
        <v>5.3741831195717342</v>
      </c>
      <c r="W39" s="313">
        <f t="shared" si="5"/>
        <v>110</v>
      </c>
      <c r="X39" s="313">
        <f t="shared" si="6"/>
        <v>106</v>
      </c>
      <c r="Y39" s="313">
        <f t="shared" si="3"/>
        <v>4</v>
      </c>
      <c r="Z39" s="313">
        <f t="shared" si="4"/>
        <v>4</v>
      </c>
    </row>
    <row r="40" spans="1:26">
      <c r="A40" s="313" t="s">
        <v>293</v>
      </c>
      <c r="D40" s="313" t="s">
        <v>249</v>
      </c>
      <c r="E40" s="313">
        <v>2.9800000000000004</v>
      </c>
      <c r="F40" s="313">
        <v>4.5999999999999996</v>
      </c>
      <c r="G40" s="326">
        <v>3.79</v>
      </c>
      <c r="H40" s="313">
        <v>9.6999999999999993</v>
      </c>
      <c r="I40" s="313">
        <v>7.17</v>
      </c>
      <c r="J40" s="313">
        <v>2.04</v>
      </c>
      <c r="K40" s="313">
        <v>7.16</v>
      </c>
      <c r="L40" s="326">
        <v>6.7724999999999982</v>
      </c>
      <c r="M40" s="313">
        <v>4.63</v>
      </c>
      <c r="N40" s="313">
        <v>7.41</v>
      </c>
      <c r="O40" s="313">
        <v>6.9700000000000006</v>
      </c>
      <c r="P40" s="326">
        <v>6.336666666666666</v>
      </c>
      <c r="Q40" s="324">
        <v>5.633055555555555</v>
      </c>
      <c r="R40" s="313">
        <v>5.2</v>
      </c>
      <c r="S40" s="313">
        <v>6.2</v>
      </c>
      <c r="T40" s="313">
        <v>8.1</v>
      </c>
      <c r="U40" s="313">
        <v>5.5897499999999987</v>
      </c>
      <c r="V40" s="325">
        <f t="shared" si="2"/>
        <v>5.5189292432014554</v>
      </c>
      <c r="W40" s="313">
        <f t="shared" si="5"/>
        <v>109</v>
      </c>
      <c r="X40" s="313">
        <f t="shared" si="6"/>
        <v>107</v>
      </c>
      <c r="Y40" s="313">
        <f t="shared" si="3"/>
        <v>2</v>
      </c>
      <c r="Z40" s="313">
        <f t="shared" si="4"/>
        <v>2</v>
      </c>
    </row>
    <row r="41" spans="1:26">
      <c r="A41" s="313" t="s">
        <v>296</v>
      </c>
      <c r="D41" s="313" t="s">
        <v>249</v>
      </c>
      <c r="E41" s="313">
        <v>3.29</v>
      </c>
      <c r="F41" s="313">
        <v>2.9000000000000004</v>
      </c>
      <c r="G41" s="326">
        <v>3.0950000000000002</v>
      </c>
      <c r="H41" s="313">
        <v>9.7100000000000009</v>
      </c>
      <c r="I41" s="313">
        <v>7.23</v>
      </c>
      <c r="J41" s="313">
        <v>4.2300000000000004</v>
      </c>
      <c r="K41" s="313">
        <v>8.15</v>
      </c>
      <c r="L41" s="326">
        <v>7.3940000000000001</v>
      </c>
      <c r="M41" s="313">
        <v>3.6799999999999997</v>
      </c>
      <c r="N41" s="313">
        <v>7.9399999999999995</v>
      </c>
      <c r="O41" s="313">
        <v>7.27</v>
      </c>
      <c r="P41" s="326">
        <v>6.2966666666666669</v>
      </c>
      <c r="Q41" s="324">
        <v>5.5952222222222225</v>
      </c>
      <c r="R41" s="313">
        <v>4.8666666666666671</v>
      </c>
      <c r="S41" s="313">
        <v>6.2</v>
      </c>
      <c r="T41" s="313">
        <v>7.5</v>
      </c>
      <c r="U41" s="313">
        <v>5.5223666666666666</v>
      </c>
      <c r="V41" s="325">
        <f t="shared" si="2"/>
        <v>5.3657251239286472</v>
      </c>
      <c r="W41" s="313">
        <f t="shared" si="5"/>
        <v>108</v>
      </c>
      <c r="X41" s="313">
        <f t="shared" si="6"/>
        <v>104</v>
      </c>
      <c r="Y41" s="313">
        <f t="shared" si="3"/>
        <v>4</v>
      </c>
      <c r="Z41" s="313">
        <f t="shared" si="4"/>
        <v>4</v>
      </c>
    </row>
    <row r="42" spans="1:26">
      <c r="A42" s="313" t="s">
        <v>424</v>
      </c>
      <c r="D42" s="313" t="s">
        <v>256</v>
      </c>
      <c r="E42" s="313">
        <v>3.74</v>
      </c>
      <c r="F42" s="313">
        <v>6.6899999999999995</v>
      </c>
      <c r="G42" s="326">
        <v>5.2149999999999999</v>
      </c>
      <c r="H42" s="313">
        <v>6.1</v>
      </c>
      <c r="I42" s="313">
        <v>6.52</v>
      </c>
      <c r="J42" s="313">
        <v>1.4499999999999993</v>
      </c>
      <c r="K42" s="313">
        <v>4.0599999999999996</v>
      </c>
      <c r="L42" s="326">
        <v>4.9824999999999999</v>
      </c>
      <c r="M42" s="313">
        <v>8.06</v>
      </c>
      <c r="N42" s="313">
        <v>7.0299999999999994</v>
      </c>
      <c r="O42" s="313">
        <v>4.6399999999999997</v>
      </c>
      <c r="P42" s="326">
        <v>6.5766666666666671</v>
      </c>
      <c r="Q42" s="324">
        <v>5.591388888888889</v>
      </c>
      <c r="R42" s="313">
        <v>4.5</v>
      </c>
      <c r="S42" s="313">
        <v>9.6999999999999993</v>
      </c>
      <c r="T42" s="313">
        <v>6.5</v>
      </c>
      <c r="U42" s="313">
        <v>5.4822500000000005</v>
      </c>
      <c r="V42" s="325">
        <f t="shared" si="2"/>
        <v>5.5630639671566859</v>
      </c>
      <c r="W42" s="313">
        <f t="shared" si="5"/>
        <v>107</v>
      </c>
      <c r="X42" s="313">
        <f t="shared" si="6"/>
        <v>111</v>
      </c>
      <c r="Y42" s="313">
        <f t="shared" si="3"/>
        <v>-4</v>
      </c>
      <c r="Z42" s="313">
        <f t="shared" si="4"/>
        <v>4</v>
      </c>
    </row>
    <row r="43" spans="1:26">
      <c r="A43" s="313" t="s">
        <v>289</v>
      </c>
      <c r="D43" s="313" t="s">
        <v>268</v>
      </c>
      <c r="E43" s="313">
        <v>7.51</v>
      </c>
      <c r="F43" s="313">
        <v>4.57</v>
      </c>
      <c r="G43" s="326">
        <v>6.04</v>
      </c>
      <c r="H43" s="313">
        <v>5.04</v>
      </c>
      <c r="I43" s="313">
        <v>5.9</v>
      </c>
      <c r="J43" s="313">
        <v>3.58</v>
      </c>
      <c r="K43" s="313">
        <v>3.01</v>
      </c>
      <c r="L43" s="326">
        <v>4.8745000000000003</v>
      </c>
      <c r="M43" s="313">
        <v>6</v>
      </c>
      <c r="N43" s="313">
        <v>6.4399999999999995</v>
      </c>
      <c r="O43" s="313">
        <v>4.83</v>
      </c>
      <c r="P43" s="326">
        <v>5.7566666666666668</v>
      </c>
      <c r="Q43" s="324">
        <v>5.5570555555555563</v>
      </c>
      <c r="R43" s="313">
        <v>6.4</v>
      </c>
      <c r="S43" s="313">
        <v>9.3000000000000007</v>
      </c>
      <c r="T43" s="313">
        <v>7.3</v>
      </c>
      <c r="U43" s="313">
        <v>5.641350000000001</v>
      </c>
      <c r="V43" s="325">
        <f t="shared" si="2"/>
        <v>5.5418297781676449</v>
      </c>
      <c r="W43" s="313">
        <f t="shared" si="5"/>
        <v>106</v>
      </c>
      <c r="X43" s="313">
        <f t="shared" si="6"/>
        <v>110</v>
      </c>
      <c r="Y43" s="313">
        <f t="shared" si="3"/>
        <v>-4</v>
      </c>
      <c r="Z43" s="313">
        <f t="shared" si="4"/>
        <v>4</v>
      </c>
    </row>
    <row r="44" spans="1:26">
      <c r="A44" s="313" t="s">
        <v>310</v>
      </c>
      <c r="D44" s="313" t="s">
        <v>251</v>
      </c>
      <c r="E44" s="313">
        <v>4.6100000000000003</v>
      </c>
      <c r="F44" s="313">
        <v>6.73</v>
      </c>
      <c r="G44" s="326">
        <v>5.67</v>
      </c>
      <c r="H44" s="313">
        <v>4.8899999999999997</v>
      </c>
      <c r="I44" s="313">
        <v>4.05</v>
      </c>
      <c r="J44" s="313">
        <v>7.04</v>
      </c>
      <c r="K44" s="313">
        <v>4.8499999999999996</v>
      </c>
      <c r="L44" s="326">
        <v>5.1314999999999991</v>
      </c>
      <c r="M44" s="313">
        <v>6.9399999999999995</v>
      </c>
      <c r="N44" s="313">
        <v>5.98</v>
      </c>
      <c r="O44" s="313">
        <v>4.5999999999999996</v>
      </c>
      <c r="P44" s="326">
        <v>5.84</v>
      </c>
      <c r="Q44" s="324">
        <v>5.5471666666666666</v>
      </c>
      <c r="R44" s="313">
        <v>2.3333333333333335</v>
      </c>
      <c r="S44" s="313">
        <v>8.6999999999999993</v>
      </c>
      <c r="T44" s="313">
        <v>5.3</v>
      </c>
      <c r="U44" s="313">
        <v>5.2257833333333332</v>
      </c>
      <c r="V44" s="325">
        <f t="shared" si="2"/>
        <v>5.5415885403368002</v>
      </c>
      <c r="W44" s="313">
        <f t="shared" si="5"/>
        <v>105</v>
      </c>
      <c r="X44" s="313">
        <f t="shared" si="6"/>
        <v>109</v>
      </c>
      <c r="Y44" s="313">
        <f t="shared" si="3"/>
        <v>-4</v>
      </c>
      <c r="Z44" s="313">
        <f t="shared" si="4"/>
        <v>4</v>
      </c>
    </row>
    <row r="45" spans="1:26">
      <c r="A45" s="313" t="s">
        <v>307</v>
      </c>
      <c r="D45" s="313" t="s">
        <v>256</v>
      </c>
      <c r="E45" s="313">
        <v>4.09</v>
      </c>
      <c r="F45" s="313">
        <v>3</v>
      </c>
      <c r="G45" s="326">
        <v>3.5449999999999999</v>
      </c>
      <c r="H45" s="313">
        <v>9.1300000000000008</v>
      </c>
      <c r="I45" s="313">
        <v>7.3599999999999994</v>
      </c>
      <c r="J45" s="313">
        <v>1.3800000000000008</v>
      </c>
      <c r="K45" s="313">
        <v>7.77</v>
      </c>
      <c r="L45" s="326">
        <v>6.5049999999999999</v>
      </c>
      <c r="M45" s="313">
        <v>6.1</v>
      </c>
      <c r="N45" s="313">
        <v>7.25</v>
      </c>
      <c r="O45" s="313">
        <v>5.97</v>
      </c>
      <c r="P45" s="326">
        <v>6.44</v>
      </c>
      <c r="Q45" s="324">
        <v>5.496666666666667</v>
      </c>
      <c r="R45" s="313">
        <v>3</v>
      </c>
      <c r="S45" s="313">
        <v>6.2</v>
      </c>
      <c r="T45" s="313">
        <v>6.7</v>
      </c>
      <c r="U45" s="313">
        <v>5.246999999999999</v>
      </c>
      <c r="V45" s="325">
        <f t="shared" si="2"/>
        <v>5.3655122921679945</v>
      </c>
      <c r="W45" s="313">
        <f t="shared" si="5"/>
        <v>104</v>
      </c>
      <c r="X45" s="313">
        <f t="shared" si="6"/>
        <v>103</v>
      </c>
      <c r="Y45" s="313">
        <f t="shared" si="3"/>
        <v>1</v>
      </c>
      <c r="Z45" s="313">
        <f t="shared" si="4"/>
        <v>1</v>
      </c>
    </row>
    <row r="46" spans="1:26">
      <c r="A46" s="313" t="s">
        <v>308</v>
      </c>
      <c r="D46" s="313" t="s">
        <v>249</v>
      </c>
      <c r="E46" s="313">
        <v>2.96</v>
      </c>
      <c r="F46" s="313">
        <v>4.0999999999999996</v>
      </c>
      <c r="G46" s="326">
        <v>3.53</v>
      </c>
      <c r="H46" s="313">
        <v>8.27</v>
      </c>
      <c r="I46" s="313">
        <v>7.7</v>
      </c>
      <c r="J46" s="313">
        <v>3.45</v>
      </c>
      <c r="K46" s="313">
        <v>7.7</v>
      </c>
      <c r="L46" s="326">
        <v>6.8369999999999989</v>
      </c>
      <c r="M46" s="313">
        <v>5.65</v>
      </c>
      <c r="N46" s="313">
        <v>7.04</v>
      </c>
      <c r="O46" s="313">
        <v>5.52</v>
      </c>
      <c r="P46" s="326">
        <v>6.07</v>
      </c>
      <c r="Q46" s="324">
        <v>5.4789999999999992</v>
      </c>
      <c r="R46" s="313">
        <v>3.1</v>
      </c>
      <c r="S46" s="313">
        <v>1</v>
      </c>
      <c r="T46" s="313">
        <v>3.7</v>
      </c>
      <c r="U46" s="313">
        <v>5.2410999999999994</v>
      </c>
      <c r="V46" s="325">
        <f t="shared" si="2"/>
        <v>5.3433020460225844</v>
      </c>
      <c r="W46" s="313">
        <f t="shared" si="5"/>
        <v>103</v>
      </c>
      <c r="X46" s="313">
        <f t="shared" si="6"/>
        <v>101</v>
      </c>
      <c r="Y46" s="313">
        <f t="shared" si="3"/>
        <v>2</v>
      </c>
      <c r="Z46" s="313">
        <f t="shared" si="4"/>
        <v>2</v>
      </c>
    </row>
    <row r="47" spans="1:26">
      <c r="A47" s="313" t="s">
        <v>294</v>
      </c>
      <c r="B47" s="313" t="s">
        <v>245</v>
      </c>
      <c r="C47" s="313" t="s">
        <v>265</v>
      </c>
      <c r="D47" s="313" t="s">
        <v>251</v>
      </c>
      <c r="E47" s="313">
        <v>5.09</v>
      </c>
      <c r="F47" s="313">
        <v>7.7200000000000006</v>
      </c>
      <c r="G47" s="326">
        <v>6.4050000000000002</v>
      </c>
      <c r="H47" s="313">
        <v>4.49</v>
      </c>
      <c r="I47" s="313">
        <v>3.5999999999999996</v>
      </c>
      <c r="J47" s="313">
        <v>4.21</v>
      </c>
      <c r="K47" s="313">
        <v>3.0700000000000003</v>
      </c>
      <c r="L47" s="326">
        <v>4.0374999999999996</v>
      </c>
      <c r="M47" s="313">
        <v>7.7</v>
      </c>
      <c r="N47" s="313">
        <v>5.67</v>
      </c>
      <c r="O47" s="313">
        <v>4.1399999999999997</v>
      </c>
      <c r="P47" s="326">
        <v>5.8366666666666669</v>
      </c>
      <c r="Q47" s="324">
        <v>5.426388888888888</v>
      </c>
      <c r="R47" s="313">
        <v>6.6333333333333337</v>
      </c>
      <c r="S47" s="313">
        <v>6.2</v>
      </c>
      <c r="T47" s="313">
        <v>8.6</v>
      </c>
      <c r="U47" s="313">
        <v>5.5470833333333331</v>
      </c>
      <c r="V47" s="325">
        <f t="shared" si="2"/>
        <v>5.3592070135042071</v>
      </c>
      <c r="W47" s="313">
        <f t="shared" si="5"/>
        <v>102</v>
      </c>
      <c r="X47" s="313">
        <f t="shared" si="6"/>
        <v>102</v>
      </c>
      <c r="Y47" s="313">
        <f t="shared" si="3"/>
        <v>0</v>
      </c>
      <c r="Z47" s="313">
        <f t="shared" si="4"/>
        <v>0</v>
      </c>
    </row>
    <row r="48" spans="1:26">
      <c r="A48" s="313" t="s">
        <v>312</v>
      </c>
      <c r="D48" s="313" t="s">
        <v>247</v>
      </c>
      <c r="E48" s="313">
        <v>2.75</v>
      </c>
      <c r="F48" s="313">
        <v>2.4800000000000004</v>
      </c>
      <c r="G48" s="326">
        <v>2.6150000000000002</v>
      </c>
      <c r="H48" s="313">
        <v>9.33</v>
      </c>
      <c r="I48" s="313">
        <v>8.42</v>
      </c>
      <c r="J48" s="313">
        <v>3.7</v>
      </c>
      <c r="K48" s="313">
        <v>6.96</v>
      </c>
      <c r="L48" s="326">
        <v>7.4854999999999992</v>
      </c>
      <c r="M48" s="313">
        <v>3.2199999999999998</v>
      </c>
      <c r="N48" s="313">
        <v>7.7</v>
      </c>
      <c r="O48" s="313">
        <v>7.54</v>
      </c>
      <c r="P48" s="326">
        <v>6.1533333333333333</v>
      </c>
      <c r="Q48" s="324">
        <v>5.4179444444444442</v>
      </c>
      <c r="R48" s="313">
        <v>2.6666666666666665</v>
      </c>
      <c r="S48" s="313">
        <v>6.2</v>
      </c>
      <c r="T48" s="313">
        <v>5.7</v>
      </c>
      <c r="U48" s="313">
        <v>5.1428166666666657</v>
      </c>
      <c r="V48" s="325">
        <f t="shared" si="2"/>
        <v>5.1072553662629723</v>
      </c>
      <c r="W48" s="313">
        <f t="shared" si="5"/>
        <v>101</v>
      </c>
      <c r="X48" s="313">
        <f t="shared" si="6"/>
        <v>89</v>
      </c>
      <c r="Y48" s="313">
        <f t="shared" si="3"/>
        <v>12</v>
      </c>
      <c r="Z48" s="313">
        <f t="shared" si="4"/>
        <v>12</v>
      </c>
    </row>
    <row r="49" spans="1:26">
      <c r="A49" s="313" t="s">
        <v>313</v>
      </c>
      <c r="D49" s="313" t="s">
        <v>247</v>
      </c>
      <c r="E49" s="313">
        <v>2.95</v>
      </c>
      <c r="F49" s="313">
        <v>2.59</v>
      </c>
      <c r="G49" s="326">
        <v>2.77</v>
      </c>
      <c r="H49" s="313">
        <v>9.14</v>
      </c>
      <c r="I49" s="313">
        <v>8.23</v>
      </c>
      <c r="J49" s="313">
        <v>3.4699999999999998</v>
      </c>
      <c r="K49" s="313">
        <v>5.9</v>
      </c>
      <c r="L49" s="326">
        <v>7.2419999999999991</v>
      </c>
      <c r="M49" s="313">
        <v>4.7</v>
      </c>
      <c r="N49" s="313">
        <v>7.6400000000000006</v>
      </c>
      <c r="O49" s="313">
        <v>6.29</v>
      </c>
      <c r="P49" s="326">
        <v>6.21</v>
      </c>
      <c r="Q49" s="324">
        <v>5.4073333333333329</v>
      </c>
      <c r="R49" s="313">
        <v>2.3333333333333335</v>
      </c>
      <c r="S49" s="313">
        <v>4.5999999999999996</v>
      </c>
      <c r="T49" s="313">
        <v>4.5</v>
      </c>
      <c r="U49" s="313">
        <v>5.0999333333333334</v>
      </c>
      <c r="V49" s="325">
        <f t="shared" si="2"/>
        <v>5.1395372813878124</v>
      </c>
      <c r="W49" s="313">
        <f t="shared" si="5"/>
        <v>100</v>
      </c>
      <c r="X49" s="313">
        <f t="shared" si="6"/>
        <v>93</v>
      </c>
      <c r="Y49" s="313">
        <f t="shared" si="3"/>
        <v>7</v>
      </c>
      <c r="Z49" s="313">
        <f t="shared" si="4"/>
        <v>7</v>
      </c>
    </row>
    <row r="50" spans="1:26">
      <c r="A50" s="313" t="s">
        <v>290</v>
      </c>
      <c r="B50" s="313" t="s">
        <v>245</v>
      </c>
      <c r="C50" s="313" t="s">
        <v>246</v>
      </c>
      <c r="D50" s="313" t="s">
        <v>256</v>
      </c>
      <c r="E50" s="313">
        <v>8.0299999999999994</v>
      </c>
      <c r="F50" s="313">
        <v>4.37</v>
      </c>
      <c r="G50" s="326">
        <v>6.1999999999999993</v>
      </c>
      <c r="H50" s="313">
        <v>5.55</v>
      </c>
      <c r="I50" s="313">
        <v>5.32</v>
      </c>
      <c r="J50" s="313">
        <v>1.9100000000000001</v>
      </c>
      <c r="K50" s="313">
        <v>5.85</v>
      </c>
      <c r="L50" s="326">
        <v>4.5745000000000005</v>
      </c>
      <c r="M50" s="313">
        <v>5.07</v>
      </c>
      <c r="N50" s="313">
        <v>5.5</v>
      </c>
      <c r="O50" s="313">
        <v>5.7</v>
      </c>
      <c r="P50" s="326">
        <v>5.4233333333333329</v>
      </c>
      <c r="Q50" s="324">
        <v>5.399277777777777</v>
      </c>
      <c r="R50" s="313">
        <v>7.7333333333333343</v>
      </c>
      <c r="S50" s="313">
        <v>9.6999999999999993</v>
      </c>
      <c r="T50" s="313">
        <v>9.3000000000000007</v>
      </c>
      <c r="U50" s="313">
        <v>5.6326833333333326</v>
      </c>
      <c r="V50" s="325">
        <f t="shared" si="2"/>
        <v>5.3717851424520928</v>
      </c>
      <c r="W50" s="313">
        <f t="shared" si="5"/>
        <v>99</v>
      </c>
      <c r="X50" s="313">
        <f t="shared" si="6"/>
        <v>105</v>
      </c>
      <c r="Y50" s="313">
        <f t="shared" si="3"/>
        <v>-6</v>
      </c>
      <c r="Z50" s="313">
        <f t="shared" si="4"/>
        <v>6</v>
      </c>
    </row>
    <row r="51" spans="1:26">
      <c r="A51" s="313" t="s">
        <v>302</v>
      </c>
      <c r="D51" s="313" t="s">
        <v>249</v>
      </c>
      <c r="E51" s="313">
        <v>1.8800000000000008</v>
      </c>
      <c r="F51" s="313">
        <v>4.59</v>
      </c>
      <c r="G51" s="326">
        <v>3.2350000000000003</v>
      </c>
      <c r="H51" s="313">
        <v>8.1999999999999993</v>
      </c>
      <c r="I51" s="313">
        <v>6.2</v>
      </c>
      <c r="J51" s="313">
        <v>2.2599999999999998</v>
      </c>
      <c r="K51" s="313">
        <v>9.18</v>
      </c>
      <c r="L51" s="326">
        <v>6.0639999999999983</v>
      </c>
      <c r="M51" s="313">
        <v>5.38</v>
      </c>
      <c r="N51" s="313">
        <v>7.66</v>
      </c>
      <c r="O51" s="313">
        <v>7.43</v>
      </c>
      <c r="P51" s="326">
        <v>6.8233333333333333</v>
      </c>
      <c r="Q51" s="324">
        <v>5.3741111111111115</v>
      </c>
      <c r="R51" s="313">
        <v>4.8666666666666671</v>
      </c>
      <c r="S51" s="313">
        <v>6.2</v>
      </c>
      <c r="T51" s="313">
        <v>7.5</v>
      </c>
      <c r="U51" s="313">
        <v>5.323366666666665</v>
      </c>
      <c r="V51" s="325">
        <f t="shared" si="2"/>
        <v>5.2053763853895774</v>
      </c>
      <c r="W51" s="313">
        <f t="shared" si="5"/>
        <v>98</v>
      </c>
      <c r="X51" s="313">
        <f t="shared" si="6"/>
        <v>96</v>
      </c>
      <c r="Y51" s="313">
        <f t="shared" si="3"/>
        <v>2</v>
      </c>
      <c r="Z51" s="313">
        <f t="shared" si="4"/>
        <v>2</v>
      </c>
    </row>
    <row r="52" spans="1:26">
      <c r="A52" s="313" t="s">
        <v>305</v>
      </c>
      <c r="C52" s="313" t="s">
        <v>265</v>
      </c>
      <c r="D52" s="313" t="s">
        <v>268</v>
      </c>
      <c r="E52" s="313">
        <v>6.2799999999999994</v>
      </c>
      <c r="F52" s="313">
        <v>6.59</v>
      </c>
      <c r="G52" s="326">
        <v>6.4349999999999996</v>
      </c>
      <c r="H52" s="313">
        <v>4.4000000000000004</v>
      </c>
      <c r="I52" s="313">
        <v>4.8600000000000003</v>
      </c>
      <c r="J52" s="313">
        <v>1.7699999999999996</v>
      </c>
      <c r="K52" s="313">
        <v>4.3099999999999996</v>
      </c>
      <c r="L52" s="326">
        <v>3.899</v>
      </c>
      <c r="M52" s="313">
        <v>6.3100000000000005</v>
      </c>
      <c r="N52" s="313">
        <v>6.88</v>
      </c>
      <c r="O52" s="313">
        <v>4.04</v>
      </c>
      <c r="P52" s="326">
        <v>5.7433333333333332</v>
      </c>
      <c r="Q52" s="324">
        <v>5.3591111111111109</v>
      </c>
      <c r="R52" s="313">
        <v>4.5333333333333332</v>
      </c>
      <c r="S52" s="313">
        <v>9.3000000000000007</v>
      </c>
      <c r="T52" s="313">
        <v>6.4</v>
      </c>
      <c r="U52" s="313">
        <v>5.2765333333333331</v>
      </c>
      <c r="V52" s="325">
        <f t="shared" si="2"/>
        <v>5.2824835106685315</v>
      </c>
      <c r="W52" s="313">
        <f t="shared" si="5"/>
        <v>97</v>
      </c>
      <c r="X52" s="313">
        <f t="shared" si="6"/>
        <v>100</v>
      </c>
      <c r="Y52" s="313">
        <f t="shared" si="3"/>
        <v>-3</v>
      </c>
      <c r="Z52" s="313">
        <f t="shared" si="4"/>
        <v>3</v>
      </c>
    </row>
    <row r="53" spans="1:26">
      <c r="A53" s="313" t="s">
        <v>321</v>
      </c>
      <c r="D53" s="313" t="s">
        <v>249</v>
      </c>
      <c r="E53" s="313">
        <v>2.71</v>
      </c>
      <c r="F53" s="313">
        <v>4.4800000000000004</v>
      </c>
      <c r="G53" s="326">
        <v>3.5950000000000002</v>
      </c>
      <c r="H53" s="313">
        <v>7.4700000000000006</v>
      </c>
      <c r="I53" s="313">
        <v>8.33</v>
      </c>
      <c r="J53" s="313">
        <v>1.7899999999999991</v>
      </c>
      <c r="K53" s="313">
        <v>7.05</v>
      </c>
      <c r="L53" s="326">
        <v>6.3299999999999992</v>
      </c>
      <c r="M53" s="313">
        <v>8.0500000000000007</v>
      </c>
      <c r="N53" s="313">
        <v>5.46</v>
      </c>
      <c r="O53" s="313">
        <v>4.71</v>
      </c>
      <c r="P53" s="326">
        <v>6.0733333333333341</v>
      </c>
      <c r="Q53" s="324">
        <v>5.3327777777777774</v>
      </c>
      <c r="R53" s="313">
        <v>1.3333333333333333</v>
      </c>
      <c r="S53" s="313">
        <v>1</v>
      </c>
      <c r="T53" s="313">
        <v>1.3</v>
      </c>
      <c r="U53" s="313">
        <v>4.9328333333333338</v>
      </c>
      <c r="V53" s="325">
        <f t="shared" si="2"/>
        <v>5.2264872835059624</v>
      </c>
      <c r="W53" s="313">
        <f t="shared" si="5"/>
        <v>96</v>
      </c>
      <c r="X53" s="313">
        <f t="shared" si="6"/>
        <v>98</v>
      </c>
      <c r="Y53" s="313">
        <f t="shared" si="3"/>
        <v>-2</v>
      </c>
      <c r="Z53" s="313">
        <f t="shared" si="4"/>
        <v>2</v>
      </c>
    </row>
    <row r="54" spans="1:26">
      <c r="A54" s="313" t="s">
        <v>292</v>
      </c>
      <c r="B54" s="313" t="s">
        <v>245</v>
      </c>
      <c r="C54" s="313" t="s">
        <v>246</v>
      </c>
      <c r="D54" s="313" t="s">
        <v>268</v>
      </c>
      <c r="E54" s="313">
        <v>6.8</v>
      </c>
      <c r="F54" s="313">
        <v>6.83</v>
      </c>
      <c r="G54" s="326">
        <v>6.8149999999999995</v>
      </c>
      <c r="H54" s="313">
        <v>4.04</v>
      </c>
      <c r="I54" s="313">
        <v>3.74</v>
      </c>
      <c r="J54" s="313">
        <v>4.6500000000000004</v>
      </c>
      <c r="K54" s="313">
        <v>3.54</v>
      </c>
      <c r="L54" s="326">
        <v>4.0625</v>
      </c>
      <c r="M54" s="313">
        <v>5.32</v>
      </c>
      <c r="N54" s="313">
        <v>5.81</v>
      </c>
      <c r="O54" s="313">
        <v>4.21</v>
      </c>
      <c r="P54" s="326">
        <v>5.1133333333333333</v>
      </c>
      <c r="Q54" s="324">
        <v>5.3302777777777779</v>
      </c>
      <c r="R54" s="313">
        <v>8.1666666666666661</v>
      </c>
      <c r="S54" s="313">
        <v>8.6999999999999993</v>
      </c>
      <c r="T54" s="313">
        <v>8.6</v>
      </c>
      <c r="U54" s="313">
        <v>5.6139166666666664</v>
      </c>
      <c r="V54" s="325">
        <f t="shared" si="2"/>
        <v>5.250948432275651</v>
      </c>
      <c r="W54" s="313">
        <f t="shared" si="5"/>
        <v>95</v>
      </c>
      <c r="X54" s="313">
        <f t="shared" si="6"/>
        <v>99</v>
      </c>
      <c r="Y54" s="313">
        <f t="shared" si="3"/>
        <v>-4</v>
      </c>
      <c r="Z54" s="313">
        <f t="shared" si="4"/>
        <v>4</v>
      </c>
    </row>
    <row r="55" spans="1:26">
      <c r="A55" s="313" t="s">
        <v>297</v>
      </c>
      <c r="B55" s="313" t="s">
        <v>245</v>
      </c>
      <c r="D55" s="313" t="s">
        <v>256</v>
      </c>
      <c r="E55" s="313">
        <v>2.99</v>
      </c>
      <c r="F55" s="313">
        <v>3.41</v>
      </c>
      <c r="G55" s="326">
        <v>3.2</v>
      </c>
      <c r="H55" s="313">
        <v>6.5600000000000005</v>
      </c>
      <c r="I55" s="313">
        <v>8.379999999999999</v>
      </c>
      <c r="J55" s="313">
        <v>1.9900000000000002</v>
      </c>
      <c r="K55" s="313">
        <v>6.5299999999999994</v>
      </c>
      <c r="L55" s="326">
        <v>6.0529999999999999</v>
      </c>
      <c r="M55" s="313">
        <v>5.15</v>
      </c>
      <c r="N55" s="313">
        <v>6.46</v>
      </c>
      <c r="O55" s="313">
        <v>8.5399999999999991</v>
      </c>
      <c r="P55" s="326">
        <v>6.7166666666666659</v>
      </c>
      <c r="Q55" s="324">
        <v>5.3232222222222214</v>
      </c>
      <c r="R55" s="313">
        <v>7.0666666666666664</v>
      </c>
      <c r="S55" s="313">
        <v>8.6999999999999993</v>
      </c>
      <c r="T55" s="313">
        <v>8</v>
      </c>
      <c r="U55" s="313">
        <v>5.4975666666666667</v>
      </c>
      <c r="V55" s="325">
        <f t="shared" si="2"/>
        <v>5.1562978347148887</v>
      </c>
      <c r="W55" s="313">
        <f t="shared" si="5"/>
        <v>94</v>
      </c>
      <c r="X55" s="313">
        <f t="shared" si="6"/>
        <v>94</v>
      </c>
      <c r="Y55" s="313">
        <f t="shared" si="3"/>
        <v>0</v>
      </c>
      <c r="Z55" s="313">
        <f t="shared" si="4"/>
        <v>0</v>
      </c>
    </row>
    <row r="56" spans="1:26">
      <c r="A56" s="313" t="s">
        <v>322</v>
      </c>
      <c r="D56" s="313" t="s">
        <v>247</v>
      </c>
      <c r="E56" s="313">
        <v>2.4000000000000004</v>
      </c>
      <c r="F56" s="313">
        <v>3.1900000000000004</v>
      </c>
      <c r="G56" s="326">
        <v>2.7950000000000004</v>
      </c>
      <c r="H56" s="313">
        <v>7.76</v>
      </c>
      <c r="I56" s="313">
        <v>8.42</v>
      </c>
      <c r="J56" s="313">
        <v>1.6400000000000006</v>
      </c>
      <c r="K56" s="313">
        <v>4.8</v>
      </c>
      <c r="L56" s="326">
        <v>6.3129999999999997</v>
      </c>
      <c r="M56" s="313">
        <v>5.4</v>
      </c>
      <c r="N56" s="313">
        <v>7.62</v>
      </c>
      <c r="O56" s="313">
        <v>7.48</v>
      </c>
      <c r="P56" s="326">
        <v>6.833333333333333</v>
      </c>
      <c r="Q56" s="324">
        <v>5.3137777777777773</v>
      </c>
      <c r="R56" s="313">
        <v>1</v>
      </c>
      <c r="S56" s="313">
        <v>1</v>
      </c>
      <c r="T56" s="313">
        <v>0.9</v>
      </c>
      <c r="U56" s="313">
        <v>4.8823999999999996</v>
      </c>
      <c r="V56" s="325">
        <f t="shared" si="2"/>
        <v>5.07199222346956</v>
      </c>
      <c r="W56" s="313">
        <f t="shared" si="5"/>
        <v>93</v>
      </c>
      <c r="X56" s="313">
        <f t="shared" si="6"/>
        <v>87</v>
      </c>
      <c r="Y56" s="313">
        <f t="shared" si="3"/>
        <v>6</v>
      </c>
      <c r="Z56" s="313">
        <f t="shared" si="4"/>
        <v>6</v>
      </c>
    </row>
    <row r="57" spans="1:26">
      <c r="A57" s="313" t="s">
        <v>301</v>
      </c>
      <c r="C57" s="313" t="s">
        <v>263</v>
      </c>
      <c r="D57" s="313" t="s">
        <v>249</v>
      </c>
      <c r="E57" s="313">
        <v>3.01</v>
      </c>
      <c r="F57" s="313">
        <v>3.2199999999999998</v>
      </c>
      <c r="G57" s="326">
        <v>3.1149999999999998</v>
      </c>
      <c r="H57" s="313">
        <v>7.6899999999999995</v>
      </c>
      <c r="I57" s="313">
        <v>7.27</v>
      </c>
      <c r="J57" s="313">
        <v>4.9000000000000004</v>
      </c>
      <c r="K57" s="313">
        <v>6.75</v>
      </c>
      <c r="L57" s="326">
        <v>6.7984999999999989</v>
      </c>
      <c r="M57" s="313">
        <v>5.54</v>
      </c>
      <c r="N57" s="313">
        <v>7.26</v>
      </c>
      <c r="O57" s="313">
        <v>5.25</v>
      </c>
      <c r="P57" s="326">
        <v>6.0166666666666666</v>
      </c>
      <c r="Q57" s="324">
        <v>5.3100555555555546</v>
      </c>
      <c r="R57" s="313">
        <v>5.5333333333333332</v>
      </c>
      <c r="S57" s="313">
        <v>4.5999999999999996</v>
      </c>
      <c r="T57" s="313">
        <v>8.3000000000000007</v>
      </c>
      <c r="U57" s="313">
        <v>5.3323833333333335</v>
      </c>
      <c r="V57" s="325">
        <f t="shared" si="2"/>
        <v>5.128926500210973</v>
      </c>
      <c r="W57" s="313">
        <f t="shared" si="5"/>
        <v>92</v>
      </c>
      <c r="X57" s="313">
        <f t="shared" si="6"/>
        <v>90</v>
      </c>
      <c r="Y57" s="313">
        <f t="shared" si="3"/>
        <v>2</v>
      </c>
      <c r="Z57" s="313">
        <f t="shared" si="4"/>
        <v>2</v>
      </c>
    </row>
    <row r="58" spans="1:26">
      <c r="A58" s="313" t="s">
        <v>311</v>
      </c>
      <c r="D58" s="313" t="s">
        <v>251</v>
      </c>
      <c r="E58" s="313">
        <v>5.96</v>
      </c>
      <c r="F58" s="313">
        <v>5.37</v>
      </c>
      <c r="G58" s="326">
        <v>5.665</v>
      </c>
      <c r="H58" s="313">
        <v>4.33</v>
      </c>
      <c r="I58" s="313">
        <v>5.79</v>
      </c>
      <c r="J58" s="313">
        <v>1.67</v>
      </c>
      <c r="K58" s="313">
        <v>3.24</v>
      </c>
      <c r="L58" s="326">
        <v>4.1215000000000002</v>
      </c>
      <c r="M58" s="313">
        <v>7.66</v>
      </c>
      <c r="N58" s="313">
        <v>7.25</v>
      </c>
      <c r="O58" s="313">
        <v>3.08</v>
      </c>
      <c r="P58" s="326">
        <v>5.996666666666667</v>
      </c>
      <c r="Q58" s="324">
        <v>5.2610555555555552</v>
      </c>
      <c r="R58" s="313">
        <v>4.2</v>
      </c>
      <c r="S58" s="313">
        <v>6.2</v>
      </c>
      <c r="T58" s="313">
        <v>5.7</v>
      </c>
      <c r="U58" s="313">
        <v>5.1549499999999995</v>
      </c>
      <c r="V58" s="325">
        <f t="shared" si="2"/>
        <v>5.2159695410027744</v>
      </c>
      <c r="W58" s="313">
        <f t="shared" si="5"/>
        <v>91</v>
      </c>
      <c r="X58" s="313">
        <f t="shared" si="6"/>
        <v>97</v>
      </c>
      <c r="Y58" s="313">
        <f t="shared" si="3"/>
        <v>-6</v>
      </c>
      <c r="Z58" s="313">
        <f t="shared" si="4"/>
        <v>6</v>
      </c>
    </row>
    <row r="59" spans="1:26">
      <c r="A59" s="313" t="s">
        <v>300</v>
      </c>
      <c r="D59" s="313" t="s">
        <v>249</v>
      </c>
      <c r="E59" s="313">
        <v>3.71</v>
      </c>
      <c r="F59" s="313">
        <v>3.05</v>
      </c>
      <c r="G59" s="326">
        <v>3.38</v>
      </c>
      <c r="H59" s="313">
        <v>8.7899999999999991</v>
      </c>
      <c r="I59" s="313">
        <v>5.74</v>
      </c>
      <c r="J59" s="313">
        <v>3.8499999999999996</v>
      </c>
      <c r="K59" s="313">
        <v>6.9399999999999995</v>
      </c>
      <c r="L59" s="326">
        <v>6.3949999999999996</v>
      </c>
      <c r="M59" s="313">
        <v>4.83</v>
      </c>
      <c r="N59" s="313">
        <v>7.3599999999999994</v>
      </c>
      <c r="O59" s="313">
        <v>5.83</v>
      </c>
      <c r="P59" s="326">
        <v>6.0066666666666668</v>
      </c>
      <c r="Q59" s="324">
        <v>5.2605555555555554</v>
      </c>
      <c r="R59" s="313">
        <v>6.4</v>
      </c>
      <c r="S59" s="313">
        <v>3.1</v>
      </c>
      <c r="T59" s="313">
        <v>6.1</v>
      </c>
      <c r="U59" s="313">
        <v>5.3745000000000012</v>
      </c>
      <c r="V59" s="325">
        <f t="shared" si="2"/>
        <v>5.1320177501749678</v>
      </c>
      <c r="W59" s="313">
        <f t="shared" si="5"/>
        <v>90</v>
      </c>
      <c r="X59" s="313">
        <f t="shared" si="6"/>
        <v>91</v>
      </c>
      <c r="Y59" s="313">
        <f t="shared" si="3"/>
        <v>-1</v>
      </c>
      <c r="Z59" s="313">
        <f t="shared" si="4"/>
        <v>1</v>
      </c>
    </row>
    <row r="60" spans="1:26">
      <c r="A60" s="313" t="s">
        <v>315</v>
      </c>
      <c r="B60" s="313" t="s">
        <v>245</v>
      </c>
      <c r="C60" s="313" t="s">
        <v>263</v>
      </c>
      <c r="D60" s="313" t="s">
        <v>256</v>
      </c>
      <c r="E60" s="313">
        <v>4.9400000000000004</v>
      </c>
      <c r="F60" s="313">
        <v>6.1099999999999994</v>
      </c>
      <c r="G60" s="326">
        <v>5.5250000000000004</v>
      </c>
      <c r="H60" s="313">
        <v>4.67</v>
      </c>
      <c r="I60" s="313">
        <v>5.57</v>
      </c>
      <c r="J60" s="313">
        <v>4.42</v>
      </c>
      <c r="K60" s="313">
        <v>2.5599999999999996</v>
      </c>
      <c r="L60" s="326">
        <v>4.8170000000000002</v>
      </c>
      <c r="M60" s="313">
        <v>5.87</v>
      </c>
      <c r="N60" s="313">
        <v>5.17</v>
      </c>
      <c r="O60" s="313">
        <v>4.82</v>
      </c>
      <c r="P60" s="326">
        <v>5.2866666666666662</v>
      </c>
      <c r="Q60" s="324">
        <v>5.2095555555555562</v>
      </c>
      <c r="R60" s="313">
        <v>3.3333333333333335</v>
      </c>
      <c r="S60" s="313">
        <v>1.8</v>
      </c>
      <c r="T60" s="313">
        <v>7.2</v>
      </c>
      <c r="U60" s="313">
        <v>5.0219333333333322</v>
      </c>
      <c r="V60" s="325">
        <f t="shared" si="2"/>
        <v>5.2039465346474385</v>
      </c>
      <c r="W60" s="313">
        <f t="shared" si="5"/>
        <v>89</v>
      </c>
      <c r="X60" s="313">
        <f t="shared" si="6"/>
        <v>95</v>
      </c>
      <c r="Y60" s="313">
        <f t="shared" si="3"/>
        <v>-6</v>
      </c>
      <c r="Z60" s="313">
        <f t="shared" si="4"/>
        <v>6</v>
      </c>
    </row>
    <row r="61" spans="1:26">
      <c r="A61" s="313" t="s">
        <v>319</v>
      </c>
      <c r="D61" s="313" t="s">
        <v>251</v>
      </c>
      <c r="E61" s="313">
        <v>6.1</v>
      </c>
      <c r="F61" s="313">
        <v>4.78</v>
      </c>
      <c r="G61" s="326">
        <v>5.4399999999999995</v>
      </c>
      <c r="H61" s="313">
        <v>4.92</v>
      </c>
      <c r="I61" s="313">
        <v>5.7</v>
      </c>
      <c r="J61" s="313">
        <v>1.2599999999999998</v>
      </c>
      <c r="K61" s="313">
        <v>3.8200000000000003</v>
      </c>
      <c r="L61" s="326">
        <v>4.2229999999999999</v>
      </c>
      <c r="M61" s="313">
        <v>8.06</v>
      </c>
      <c r="N61" s="313">
        <v>6.1</v>
      </c>
      <c r="O61" s="313">
        <v>3.37</v>
      </c>
      <c r="P61" s="326">
        <v>5.8433333333333337</v>
      </c>
      <c r="Q61" s="324">
        <v>5.1687777777777777</v>
      </c>
      <c r="R61" s="313">
        <v>3.1</v>
      </c>
      <c r="S61" s="313">
        <v>4.5999999999999996</v>
      </c>
      <c r="T61" s="313">
        <v>4.5</v>
      </c>
      <c r="U61" s="313">
        <v>4.9619</v>
      </c>
      <c r="V61" s="325">
        <f t="shared" si="2"/>
        <v>5.136719785632029</v>
      </c>
      <c r="W61" s="313">
        <f t="shared" si="5"/>
        <v>88</v>
      </c>
      <c r="X61" s="313">
        <f t="shared" si="6"/>
        <v>92</v>
      </c>
      <c r="Y61" s="313">
        <f t="shared" si="3"/>
        <v>-4</v>
      </c>
      <c r="Z61" s="313">
        <f t="shared" si="4"/>
        <v>4</v>
      </c>
    </row>
    <row r="62" spans="1:26">
      <c r="A62" s="313" t="s">
        <v>309</v>
      </c>
      <c r="C62" s="313" t="s">
        <v>265</v>
      </c>
      <c r="D62" s="313" t="s">
        <v>268</v>
      </c>
      <c r="E62" s="313">
        <v>8.52</v>
      </c>
      <c r="F62" s="313">
        <v>3.58</v>
      </c>
      <c r="G62" s="326">
        <v>6.05</v>
      </c>
      <c r="H62" s="313">
        <v>4</v>
      </c>
      <c r="I62" s="313">
        <v>5.64</v>
      </c>
      <c r="J62" s="313">
        <v>1.67</v>
      </c>
      <c r="K62" s="313">
        <v>4.53</v>
      </c>
      <c r="L62" s="326">
        <v>4.0179999999999998</v>
      </c>
      <c r="M62" s="313">
        <v>6.2799999999999994</v>
      </c>
      <c r="N62" s="313">
        <v>6.1899999999999995</v>
      </c>
      <c r="O62" s="313">
        <v>3.6399999999999997</v>
      </c>
      <c r="P62" s="326">
        <v>5.37</v>
      </c>
      <c r="Q62" s="324">
        <v>5.1459999999999999</v>
      </c>
      <c r="R62" s="313">
        <v>5.9666666666666668</v>
      </c>
      <c r="S62" s="313">
        <v>8.6999999999999993</v>
      </c>
      <c r="T62" s="313">
        <v>8</v>
      </c>
      <c r="U62" s="313">
        <v>5.228066666666666</v>
      </c>
      <c r="V62" s="325">
        <f t="shared" si="2"/>
        <v>5.0975904398037537</v>
      </c>
      <c r="W62" s="313">
        <f t="shared" si="5"/>
        <v>87</v>
      </c>
      <c r="X62" s="313">
        <f t="shared" si="6"/>
        <v>88</v>
      </c>
      <c r="Y62" s="313">
        <f t="shared" si="3"/>
        <v>-1</v>
      </c>
      <c r="Z62" s="313">
        <f t="shared" si="4"/>
        <v>1</v>
      </c>
    </row>
    <row r="63" spans="1:26">
      <c r="A63" s="313" t="s">
        <v>318</v>
      </c>
      <c r="D63" s="313" t="s">
        <v>256</v>
      </c>
      <c r="E63" s="313">
        <v>7.6099999999999994</v>
      </c>
      <c r="F63" s="313">
        <v>5.76</v>
      </c>
      <c r="G63" s="326">
        <v>6.6849999999999996</v>
      </c>
      <c r="H63" s="313">
        <v>4.5999999999999996</v>
      </c>
      <c r="I63" s="313">
        <v>4.41</v>
      </c>
      <c r="J63" s="313">
        <v>1.1400000000000006</v>
      </c>
      <c r="K63" s="313">
        <v>5.4</v>
      </c>
      <c r="L63" s="326">
        <v>3.7084999999999999</v>
      </c>
      <c r="M63" s="313">
        <v>5.15</v>
      </c>
      <c r="N63" s="313">
        <v>4.2</v>
      </c>
      <c r="O63" s="313">
        <v>5.13</v>
      </c>
      <c r="P63" s="326">
        <v>4.8266666666666671</v>
      </c>
      <c r="Q63" s="324">
        <v>5.0733888888888892</v>
      </c>
      <c r="R63" s="313">
        <v>4.0999999999999996</v>
      </c>
      <c r="S63" s="313">
        <v>0.2</v>
      </c>
      <c r="T63" s="313">
        <v>6.3</v>
      </c>
      <c r="U63" s="313">
        <v>4.9760499999999999</v>
      </c>
      <c r="V63" s="325">
        <f t="shared" si="2"/>
        <v>4.9758139738362379</v>
      </c>
      <c r="W63" s="313">
        <f t="shared" si="5"/>
        <v>86</v>
      </c>
      <c r="X63" s="313">
        <f t="shared" si="6"/>
        <v>81</v>
      </c>
      <c r="Y63" s="313">
        <f t="shared" si="3"/>
        <v>5</v>
      </c>
      <c r="Z63" s="313">
        <f t="shared" si="4"/>
        <v>5</v>
      </c>
    </row>
    <row r="64" spans="1:26">
      <c r="A64" s="313" t="s">
        <v>314</v>
      </c>
      <c r="D64" s="313" t="s">
        <v>249</v>
      </c>
      <c r="E64" s="313">
        <v>2.3600000000000003</v>
      </c>
      <c r="F64" s="313">
        <v>2.2199999999999998</v>
      </c>
      <c r="G64" s="326">
        <v>2.29</v>
      </c>
      <c r="H64" s="313">
        <v>7.91</v>
      </c>
      <c r="I64" s="313">
        <v>7.34</v>
      </c>
      <c r="J64" s="313">
        <v>4.0999999999999996</v>
      </c>
      <c r="K64" s="313">
        <v>3.79</v>
      </c>
      <c r="L64" s="326">
        <v>6.5520000000000005</v>
      </c>
      <c r="M64" s="313">
        <v>6.6</v>
      </c>
      <c r="N64" s="313">
        <v>7.51</v>
      </c>
      <c r="O64" s="313">
        <v>4.92</v>
      </c>
      <c r="P64" s="326">
        <v>6.3433333333333337</v>
      </c>
      <c r="Q64" s="324">
        <v>5.0617777777777784</v>
      </c>
      <c r="R64" s="313">
        <v>4.8666666666666671</v>
      </c>
      <c r="S64" s="313">
        <v>1</v>
      </c>
      <c r="T64" s="313">
        <v>6.4</v>
      </c>
      <c r="U64" s="313">
        <v>5.0422666666666665</v>
      </c>
      <c r="V64" s="325">
        <f t="shared" si="2"/>
        <v>4.742899271718346</v>
      </c>
      <c r="W64" s="313">
        <f t="shared" si="5"/>
        <v>85</v>
      </c>
      <c r="X64" s="313">
        <f t="shared" si="6"/>
        <v>75</v>
      </c>
      <c r="Y64" s="313">
        <f t="shared" si="3"/>
        <v>10</v>
      </c>
      <c r="Z64" s="313">
        <f t="shared" si="4"/>
        <v>10</v>
      </c>
    </row>
    <row r="65" spans="1:26">
      <c r="A65" s="313" t="s">
        <v>316</v>
      </c>
      <c r="C65" s="313" t="s">
        <v>265</v>
      </c>
      <c r="D65" s="313" t="s">
        <v>268</v>
      </c>
      <c r="E65" s="313">
        <v>6.5299999999999994</v>
      </c>
      <c r="F65" s="313">
        <v>3.3600000000000003</v>
      </c>
      <c r="G65" s="326">
        <v>4.9450000000000003</v>
      </c>
      <c r="H65" s="313">
        <v>4.25</v>
      </c>
      <c r="I65" s="313">
        <v>5.46</v>
      </c>
      <c r="J65" s="313">
        <v>1.6400000000000006</v>
      </c>
      <c r="K65" s="313">
        <v>5.32</v>
      </c>
      <c r="L65" s="326">
        <v>4.0744999999999996</v>
      </c>
      <c r="M65" s="313">
        <v>6.24</v>
      </c>
      <c r="N65" s="313">
        <v>7.4</v>
      </c>
      <c r="O65" s="313">
        <v>4.83</v>
      </c>
      <c r="P65" s="326">
        <v>6.1566666666666663</v>
      </c>
      <c r="Q65" s="324">
        <v>5.0587222222222223</v>
      </c>
      <c r="R65" s="313">
        <v>4.5333333333333332</v>
      </c>
      <c r="S65" s="313">
        <v>8.6999999999999993</v>
      </c>
      <c r="T65" s="313">
        <v>6.2</v>
      </c>
      <c r="U65" s="313">
        <v>5.0061833333333325</v>
      </c>
      <c r="V65" s="325">
        <f t="shared" si="2"/>
        <v>5.0109767495534676</v>
      </c>
      <c r="W65" s="313">
        <f t="shared" si="5"/>
        <v>84</v>
      </c>
      <c r="X65" s="313">
        <f t="shared" si="6"/>
        <v>84</v>
      </c>
      <c r="Y65" s="313">
        <f t="shared" si="3"/>
        <v>0</v>
      </c>
      <c r="Z65" s="313">
        <f t="shared" si="4"/>
        <v>0</v>
      </c>
    </row>
    <row r="66" spans="1:26">
      <c r="A66" s="313" t="s">
        <v>303</v>
      </c>
      <c r="B66" s="313" t="s">
        <v>245</v>
      </c>
      <c r="C66" s="313" t="s">
        <v>265</v>
      </c>
      <c r="D66" s="313" t="s">
        <v>251</v>
      </c>
      <c r="E66" s="313">
        <v>4.0599999999999996</v>
      </c>
      <c r="F66" s="313">
        <v>5.36</v>
      </c>
      <c r="G66" s="326">
        <v>4.71</v>
      </c>
      <c r="H66" s="313">
        <v>3.0999999999999996</v>
      </c>
      <c r="I66" s="313">
        <v>4.04</v>
      </c>
      <c r="J66" s="313">
        <v>6.71</v>
      </c>
      <c r="K66" s="313">
        <v>4.08</v>
      </c>
      <c r="L66" s="326">
        <v>4.3804999999999996</v>
      </c>
      <c r="M66" s="313">
        <v>7.62</v>
      </c>
      <c r="N66" s="313">
        <v>6.49</v>
      </c>
      <c r="O66" s="313">
        <v>4.1399999999999997</v>
      </c>
      <c r="P66" s="326">
        <v>6.083333333333333</v>
      </c>
      <c r="Q66" s="324">
        <v>5.0579444444444439</v>
      </c>
      <c r="R66" s="313">
        <v>7.4</v>
      </c>
      <c r="S66" s="313">
        <v>9.6999999999999993</v>
      </c>
      <c r="T66" s="313">
        <v>9.3000000000000007</v>
      </c>
      <c r="U66" s="313">
        <v>5.2921499999999995</v>
      </c>
      <c r="V66" s="325">
        <f t="shared" si="2"/>
        <v>5.0235482170912595</v>
      </c>
      <c r="W66" s="313">
        <f t="shared" ref="W66:W97" si="7">RANK(Q66, Risk, 1)</f>
        <v>83</v>
      </c>
      <c r="X66" s="313">
        <f t="shared" ref="X66:X97" si="8">RANK(V66, RiskAggregAlt, 1)</f>
        <v>85</v>
      </c>
      <c r="Y66" s="313">
        <f t="shared" si="3"/>
        <v>-2</v>
      </c>
      <c r="Z66" s="313">
        <f t="shared" si="4"/>
        <v>2</v>
      </c>
    </row>
    <row r="67" spans="1:26">
      <c r="A67" s="313" t="s">
        <v>324</v>
      </c>
      <c r="D67" s="313" t="s">
        <v>251</v>
      </c>
      <c r="E67" s="313">
        <v>5.05</v>
      </c>
      <c r="F67" s="313">
        <v>5.01</v>
      </c>
      <c r="G67" s="326">
        <v>5.0299999999999994</v>
      </c>
      <c r="H67" s="313">
        <v>4.5</v>
      </c>
      <c r="I67" s="313">
        <v>4.3899999999999997</v>
      </c>
      <c r="J67" s="313">
        <v>4.79</v>
      </c>
      <c r="K67" s="313">
        <v>7.09</v>
      </c>
      <c r="L67" s="326">
        <v>4.6634999999999991</v>
      </c>
      <c r="M67" s="313">
        <v>7.18</v>
      </c>
      <c r="N67" s="313">
        <v>6.34</v>
      </c>
      <c r="O67" s="313">
        <v>2.75</v>
      </c>
      <c r="P67" s="326">
        <v>5.4233333333333329</v>
      </c>
      <c r="Q67" s="324">
        <v>5.0389444444444438</v>
      </c>
      <c r="R67" s="313">
        <v>2.6666666666666665</v>
      </c>
      <c r="S67" s="313">
        <v>8.6999999999999993</v>
      </c>
      <c r="T67" s="313">
        <v>6.2</v>
      </c>
      <c r="U67" s="313">
        <v>4.8017166666666657</v>
      </c>
      <c r="V67" s="325">
        <f t="shared" ref="V67:V130" si="9" xml:space="preserve"> (G67^(1/3) +  L67^(1/3)  +P67^(1/3))^3 / 27</f>
        <v>5.0325751016639098</v>
      </c>
      <c r="W67" s="313">
        <f t="shared" si="7"/>
        <v>82</v>
      </c>
      <c r="X67" s="313">
        <f t="shared" si="8"/>
        <v>86</v>
      </c>
      <c r="Y67" s="313">
        <f t="shared" ref="Y67:Y130" si="10">W67-X67</f>
        <v>-4</v>
      </c>
      <c r="Z67" s="313">
        <f t="shared" ref="Z67:Z130" si="11">ABS(Y67)</f>
        <v>4</v>
      </c>
    </row>
    <row r="68" spans="1:26">
      <c r="A68" s="313" t="s">
        <v>327</v>
      </c>
      <c r="D68" s="313" t="s">
        <v>268</v>
      </c>
      <c r="E68" s="313">
        <v>6.73</v>
      </c>
      <c r="F68" s="313">
        <v>3.96</v>
      </c>
      <c r="G68" s="326">
        <v>5.3450000000000006</v>
      </c>
      <c r="H68" s="313">
        <v>3.74</v>
      </c>
      <c r="I68" s="313">
        <v>4.4800000000000004</v>
      </c>
      <c r="J68" s="313">
        <v>4.87</v>
      </c>
      <c r="K68" s="313">
        <v>3.3</v>
      </c>
      <c r="L68" s="326">
        <v>4.2595000000000001</v>
      </c>
      <c r="M68" s="313">
        <v>5.41</v>
      </c>
      <c r="N68" s="313">
        <v>6.33</v>
      </c>
      <c r="O68" s="313">
        <v>4.68</v>
      </c>
      <c r="P68" s="326">
        <v>5.4733333333333336</v>
      </c>
      <c r="Q68" s="324">
        <v>5.0259444444444448</v>
      </c>
      <c r="R68" s="313">
        <v>2.3333333333333335</v>
      </c>
      <c r="S68" s="313">
        <v>8.6999999999999993</v>
      </c>
      <c r="T68" s="313">
        <v>5.3</v>
      </c>
      <c r="U68" s="313">
        <v>4.756683333333334</v>
      </c>
      <c r="V68" s="325">
        <f t="shared" si="9"/>
        <v>5.0053668708549983</v>
      </c>
      <c r="W68" s="313">
        <f t="shared" si="7"/>
        <v>81</v>
      </c>
      <c r="X68" s="313">
        <f t="shared" si="8"/>
        <v>83</v>
      </c>
      <c r="Y68" s="313">
        <f t="shared" si="10"/>
        <v>-2</v>
      </c>
      <c r="Z68" s="313">
        <f t="shared" si="11"/>
        <v>2</v>
      </c>
    </row>
    <row r="69" spans="1:26">
      <c r="A69" s="313" t="s">
        <v>306</v>
      </c>
      <c r="C69" s="313" t="s">
        <v>246</v>
      </c>
      <c r="D69" s="313" t="s">
        <v>251</v>
      </c>
      <c r="E69" s="313">
        <v>1.8000000000000007</v>
      </c>
      <c r="F69" s="313">
        <v>7.55</v>
      </c>
      <c r="G69" s="326">
        <v>4.6750000000000007</v>
      </c>
      <c r="H69" s="313">
        <v>3.17</v>
      </c>
      <c r="I69" s="313">
        <v>6.26</v>
      </c>
      <c r="J69" s="313">
        <v>3.75</v>
      </c>
      <c r="K69" s="313">
        <v>3.6399999999999997</v>
      </c>
      <c r="L69" s="326">
        <v>4.42</v>
      </c>
      <c r="M69" s="313">
        <v>6.92</v>
      </c>
      <c r="N69" s="313">
        <v>7.16</v>
      </c>
      <c r="O69" s="313">
        <v>3.74</v>
      </c>
      <c r="P69" s="326">
        <v>5.94</v>
      </c>
      <c r="Q69" s="324">
        <v>5.0116666666666667</v>
      </c>
      <c r="R69" s="313">
        <v>7.4</v>
      </c>
      <c r="S69" s="313">
        <v>9.6999999999999993</v>
      </c>
      <c r="T69" s="313">
        <v>9.3000000000000007</v>
      </c>
      <c r="U69" s="313">
        <v>5.2505000000000006</v>
      </c>
      <c r="V69" s="325">
        <f t="shared" si="9"/>
        <v>4.9834402568516118</v>
      </c>
      <c r="W69" s="313">
        <f t="shared" si="7"/>
        <v>80</v>
      </c>
      <c r="X69" s="313">
        <f t="shared" si="8"/>
        <v>82</v>
      </c>
      <c r="Y69" s="313">
        <f t="shared" si="10"/>
        <v>-2</v>
      </c>
      <c r="Z69" s="313">
        <f t="shared" si="11"/>
        <v>2</v>
      </c>
    </row>
    <row r="70" spans="1:26">
      <c r="A70" s="313" t="s">
        <v>320</v>
      </c>
      <c r="D70" s="313" t="s">
        <v>254</v>
      </c>
      <c r="E70" s="313">
        <v>1.0600000000000005</v>
      </c>
      <c r="F70" s="313">
        <v>2.7300000000000004</v>
      </c>
      <c r="G70" s="326">
        <v>1.8950000000000005</v>
      </c>
      <c r="H70" s="313">
        <v>6.85</v>
      </c>
      <c r="I70" s="313">
        <v>8.02</v>
      </c>
      <c r="J70" s="313">
        <v>4.0999999999999996</v>
      </c>
      <c r="K70" s="313">
        <v>6.08</v>
      </c>
      <c r="L70" s="326">
        <v>6.5335000000000001</v>
      </c>
      <c r="M70" s="313">
        <v>6.46</v>
      </c>
      <c r="N70" s="313">
        <v>7.7</v>
      </c>
      <c r="O70" s="313">
        <v>5.42</v>
      </c>
      <c r="P70" s="326">
        <v>6.5266666666666664</v>
      </c>
      <c r="Q70" s="324">
        <v>4.9850555555555554</v>
      </c>
      <c r="R70" s="313">
        <v>4.5333333333333332</v>
      </c>
      <c r="S70" s="313">
        <v>7.6</v>
      </c>
      <c r="T70" s="313">
        <v>7</v>
      </c>
      <c r="U70" s="313">
        <v>4.9398833333333325</v>
      </c>
      <c r="V70" s="325">
        <f t="shared" si="9"/>
        <v>4.5625544604101327</v>
      </c>
      <c r="W70" s="313">
        <f t="shared" si="7"/>
        <v>79</v>
      </c>
      <c r="X70" s="313">
        <f t="shared" si="8"/>
        <v>70</v>
      </c>
      <c r="Y70" s="313">
        <f t="shared" si="10"/>
        <v>9</v>
      </c>
      <c r="Z70" s="313">
        <f t="shared" si="11"/>
        <v>9</v>
      </c>
    </row>
    <row r="71" spans="1:26">
      <c r="A71" s="313" t="s">
        <v>332</v>
      </c>
      <c r="D71" s="313" t="s">
        <v>256</v>
      </c>
      <c r="E71" s="313">
        <v>4.18</v>
      </c>
      <c r="F71" s="313">
        <v>2.08</v>
      </c>
      <c r="G71" s="326">
        <v>3.13</v>
      </c>
      <c r="H71" s="313">
        <v>5.0199999999999996</v>
      </c>
      <c r="I71" s="313">
        <v>6.26</v>
      </c>
      <c r="J71" s="313">
        <v>1.6999999999999993</v>
      </c>
      <c r="K71" s="313">
        <v>4.8899999999999997</v>
      </c>
      <c r="L71" s="326">
        <v>4.6174999999999997</v>
      </c>
      <c r="M71" s="313">
        <v>5.49</v>
      </c>
      <c r="N71" s="313">
        <v>7.68</v>
      </c>
      <c r="O71" s="313">
        <v>7.79</v>
      </c>
      <c r="P71" s="326">
        <v>6.9866666666666672</v>
      </c>
      <c r="Q71" s="324">
        <v>4.9113888888888892</v>
      </c>
      <c r="R71" s="313">
        <v>1.3333333333333333</v>
      </c>
      <c r="S71" s="313">
        <v>9.6999999999999993</v>
      </c>
      <c r="T71" s="313">
        <v>3.1</v>
      </c>
      <c r="U71" s="313">
        <v>4.5535833333333331</v>
      </c>
      <c r="V71" s="325">
        <f t="shared" si="9"/>
        <v>4.7408245037937053</v>
      </c>
      <c r="W71" s="313">
        <f t="shared" si="7"/>
        <v>78</v>
      </c>
      <c r="X71" s="313">
        <f t="shared" si="8"/>
        <v>74</v>
      </c>
      <c r="Y71" s="313">
        <f t="shared" si="10"/>
        <v>4</v>
      </c>
      <c r="Z71" s="313">
        <f t="shared" si="11"/>
        <v>4</v>
      </c>
    </row>
    <row r="72" spans="1:26">
      <c r="A72" s="313" t="s">
        <v>326</v>
      </c>
      <c r="C72" s="313" t="s">
        <v>265</v>
      </c>
      <c r="D72" s="313" t="s">
        <v>268</v>
      </c>
      <c r="E72" s="313">
        <v>4.33</v>
      </c>
      <c r="F72" s="313">
        <v>3.95</v>
      </c>
      <c r="G72" s="326">
        <v>4.1400000000000006</v>
      </c>
      <c r="H72" s="313">
        <v>5.87</v>
      </c>
      <c r="I72" s="313">
        <v>6.38</v>
      </c>
      <c r="J72" s="313">
        <v>1.9000000000000004</v>
      </c>
      <c r="K72" s="313">
        <v>5.93</v>
      </c>
      <c r="L72" s="326">
        <v>5.0589999999999993</v>
      </c>
      <c r="M72" s="313">
        <v>4.8899999999999997</v>
      </c>
      <c r="N72" s="313">
        <v>6.32</v>
      </c>
      <c r="O72" s="313">
        <v>5.39</v>
      </c>
      <c r="P72" s="326">
        <v>5.5333333333333341</v>
      </c>
      <c r="Q72" s="324">
        <v>4.9107777777777777</v>
      </c>
      <c r="R72" s="313">
        <v>3.4333333333333336</v>
      </c>
      <c r="S72" s="313">
        <v>9.3000000000000007</v>
      </c>
      <c r="T72" s="313">
        <v>6.4</v>
      </c>
      <c r="U72" s="313">
        <v>4.7630333333333343</v>
      </c>
      <c r="V72" s="325">
        <f t="shared" si="9"/>
        <v>4.8873737939193438</v>
      </c>
      <c r="W72" s="313">
        <f t="shared" si="7"/>
        <v>77</v>
      </c>
      <c r="X72" s="313">
        <f t="shared" si="8"/>
        <v>80</v>
      </c>
      <c r="Y72" s="313">
        <f t="shared" si="10"/>
        <v>-3</v>
      </c>
      <c r="Z72" s="313">
        <f t="shared" si="11"/>
        <v>3</v>
      </c>
    </row>
    <row r="73" spans="1:26">
      <c r="A73" s="313" t="s">
        <v>331</v>
      </c>
      <c r="C73" s="313" t="s">
        <v>265</v>
      </c>
      <c r="D73" s="313" t="s">
        <v>268</v>
      </c>
      <c r="E73" s="313">
        <v>9.1</v>
      </c>
      <c r="F73" s="313">
        <v>5.42</v>
      </c>
      <c r="G73" s="326">
        <v>7.26</v>
      </c>
      <c r="H73" s="313">
        <v>3.8099999999999996</v>
      </c>
      <c r="I73" s="313">
        <v>2.5499999999999998</v>
      </c>
      <c r="J73" s="313">
        <v>1.8599999999999994</v>
      </c>
      <c r="K73" s="313">
        <v>3.45</v>
      </c>
      <c r="L73" s="326">
        <v>2.8634999999999993</v>
      </c>
      <c r="M73" s="313">
        <v>5.64</v>
      </c>
      <c r="N73" s="313">
        <v>3.91</v>
      </c>
      <c r="O73" s="313">
        <v>4.24</v>
      </c>
      <c r="P73" s="326">
        <v>4.5966666666666667</v>
      </c>
      <c r="Q73" s="324">
        <v>4.9067222222222222</v>
      </c>
      <c r="R73" s="313">
        <v>1.6666666666666667</v>
      </c>
      <c r="S73" s="313">
        <v>3.1</v>
      </c>
      <c r="T73" s="313">
        <v>2.4</v>
      </c>
      <c r="U73" s="313">
        <v>4.5827166666666672</v>
      </c>
      <c r="V73" s="325">
        <f t="shared" si="9"/>
        <v>4.6827887481023307</v>
      </c>
      <c r="W73" s="313">
        <f t="shared" si="7"/>
        <v>76</v>
      </c>
      <c r="X73" s="313">
        <f t="shared" si="8"/>
        <v>73</v>
      </c>
      <c r="Y73" s="313">
        <f t="shared" si="10"/>
        <v>3</v>
      </c>
      <c r="Z73" s="313">
        <f t="shared" si="11"/>
        <v>3</v>
      </c>
    </row>
    <row r="74" spans="1:26">
      <c r="A74" s="313" t="s">
        <v>325</v>
      </c>
      <c r="D74" s="313" t="s">
        <v>249</v>
      </c>
      <c r="E74" s="313">
        <v>3.21</v>
      </c>
      <c r="F74" s="313">
        <v>3.25</v>
      </c>
      <c r="G74" s="326">
        <v>3.23</v>
      </c>
      <c r="H74" s="313">
        <v>7.57</v>
      </c>
      <c r="I74" s="313">
        <v>5.93</v>
      </c>
      <c r="J74" s="313">
        <v>3.8600000000000003</v>
      </c>
      <c r="K74" s="313">
        <v>6.4</v>
      </c>
      <c r="L74" s="326">
        <v>6.01</v>
      </c>
      <c r="M74" s="313">
        <v>3.33</v>
      </c>
      <c r="N74" s="313">
        <v>7.6</v>
      </c>
      <c r="O74" s="313">
        <v>5.33</v>
      </c>
      <c r="P74" s="326">
        <v>5.419999999999999</v>
      </c>
      <c r="Q74" s="324">
        <v>4.8866666666666667</v>
      </c>
      <c r="R74" s="313">
        <v>3.7666666666666666</v>
      </c>
      <c r="S74" s="313">
        <v>1.8</v>
      </c>
      <c r="T74" s="313">
        <v>5.8</v>
      </c>
      <c r="U74" s="313">
        <v>4.7746666666666666</v>
      </c>
      <c r="V74" s="325">
        <f t="shared" si="9"/>
        <v>4.7781534630942186</v>
      </c>
      <c r="W74" s="313">
        <f t="shared" si="7"/>
        <v>75</v>
      </c>
      <c r="X74" s="313">
        <f t="shared" si="8"/>
        <v>77</v>
      </c>
      <c r="Y74" s="313">
        <f t="shared" si="10"/>
        <v>-2</v>
      </c>
      <c r="Z74" s="313">
        <f t="shared" si="11"/>
        <v>2</v>
      </c>
    </row>
    <row r="75" spans="1:26">
      <c r="A75" s="313" t="s">
        <v>329</v>
      </c>
      <c r="D75" s="313" t="s">
        <v>251</v>
      </c>
      <c r="E75" s="313">
        <v>6.58</v>
      </c>
      <c r="F75" s="313">
        <v>5.66</v>
      </c>
      <c r="G75" s="326">
        <v>6.12</v>
      </c>
      <c r="H75" s="313">
        <v>4.3899999999999997</v>
      </c>
      <c r="I75" s="313">
        <v>2.9299999999999997</v>
      </c>
      <c r="J75" s="313">
        <v>4.71</v>
      </c>
      <c r="K75" s="313">
        <v>2.5199999999999996</v>
      </c>
      <c r="L75" s="326">
        <v>3.8654999999999995</v>
      </c>
      <c r="M75" s="313">
        <v>6.32</v>
      </c>
      <c r="N75" s="313">
        <v>4.57</v>
      </c>
      <c r="O75" s="313">
        <v>3</v>
      </c>
      <c r="P75" s="326">
        <v>4.63</v>
      </c>
      <c r="Q75" s="324">
        <v>4.8718333333333339</v>
      </c>
      <c r="R75" s="313">
        <v>2.6666666666666665</v>
      </c>
      <c r="S75" s="313">
        <v>0.2</v>
      </c>
      <c r="T75" s="313">
        <v>4.5</v>
      </c>
      <c r="U75" s="313">
        <v>4.6513166666666663</v>
      </c>
      <c r="V75" s="325">
        <f t="shared" si="9"/>
        <v>4.8133169947639134</v>
      </c>
      <c r="W75" s="313">
        <f t="shared" si="7"/>
        <v>74</v>
      </c>
      <c r="X75" s="313">
        <f t="shared" si="8"/>
        <v>79</v>
      </c>
      <c r="Y75" s="313">
        <f t="shared" si="10"/>
        <v>-5</v>
      </c>
      <c r="Z75" s="313">
        <f t="shared" si="11"/>
        <v>5</v>
      </c>
    </row>
    <row r="76" spans="1:26">
      <c r="A76" s="313" t="s">
        <v>323</v>
      </c>
      <c r="C76" s="313" t="s">
        <v>265</v>
      </c>
      <c r="D76" s="313" t="s">
        <v>268</v>
      </c>
      <c r="E76" s="313">
        <v>6.79</v>
      </c>
      <c r="F76" s="313">
        <v>3.91</v>
      </c>
      <c r="G76" s="326">
        <v>5.35</v>
      </c>
      <c r="H76" s="313">
        <v>4.5999999999999996</v>
      </c>
      <c r="I76" s="313">
        <v>4.0999999999999996</v>
      </c>
      <c r="J76" s="313">
        <v>2.25</v>
      </c>
      <c r="K76" s="313">
        <v>5.37</v>
      </c>
      <c r="L76" s="326">
        <v>3.8759999999999999</v>
      </c>
      <c r="M76" s="313">
        <v>4.6399999999999997</v>
      </c>
      <c r="N76" s="313">
        <v>5.94</v>
      </c>
      <c r="O76" s="313">
        <v>5.07</v>
      </c>
      <c r="P76" s="326">
        <v>5.2166666666666668</v>
      </c>
      <c r="Q76" s="324">
        <v>4.814222222222222</v>
      </c>
      <c r="R76" s="313">
        <v>4.8666666666666671</v>
      </c>
      <c r="S76" s="313">
        <v>7.6</v>
      </c>
      <c r="T76" s="313">
        <v>7</v>
      </c>
      <c r="U76" s="313">
        <v>4.8194666666666652</v>
      </c>
      <c r="V76" s="325">
        <f t="shared" si="9"/>
        <v>4.7816289625556188</v>
      </c>
      <c r="W76" s="313">
        <f t="shared" si="7"/>
        <v>73</v>
      </c>
      <c r="X76" s="313">
        <f t="shared" si="8"/>
        <v>78</v>
      </c>
      <c r="Y76" s="313">
        <f t="shared" si="10"/>
        <v>-5</v>
      </c>
      <c r="Z76" s="313">
        <f t="shared" si="11"/>
        <v>5</v>
      </c>
    </row>
    <row r="77" spans="1:26">
      <c r="A77" s="313" t="s">
        <v>330</v>
      </c>
      <c r="D77" s="313" t="s">
        <v>247</v>
      </c>
      <c r="E77" s="313">
        <v>1.7599999999999998</v>
      </c>
      <c r="F77" s="313">
        <v>2.3200000000000003</v>
      </c>
      <c r="G77" s="326">
        <v>2.04</v>
      </c>
      <c r="H77" s="313">
        <v>7.3900000000000006</v>
      </c>
      <c r="I77" s="313">
        <v>7.5</v>
      </c>
      <c r="J77" s="313">
        <v>1.9600000000000009</v>
      </c>
      <c r="K77" s="313">
        <v>5.89</v>
      </c>
      <c r="L77" s="326">
        <v>5.9960000000000004</v>
      </c>
      <c r="M77" s="313">
        <v>4.74</v>
      </c>
      <c r="N77" s="313">
        <v>7.35</v>
      </c>
      <c r="O77" s="313">
        <v>7.08</v>
      </c>
      <c r="P77" s="326">
        <v>6.3900000000000006</v>
      </c>
      <c r="Q77" s="324">
        <v>4.8086666666666673</v>
      </c>
      <c r="R77" s="313">
        <v>3.1</v>
      </c>
      <c r="S77" s="313">
        <v>8.6999999999999993</v>
      </c>
      <c r="T77" s="313">
        <v>5.3</v>
      </c>
      <c r="U77" s="313">
        <v>4.6378000000000004</v>
      </c>
      <c r="V77" s="325">
        <f t="shared" si="9"/>
        <v>4.4667173279142673</v>
      </c>
      <c r="W77" s="313">
        <f t="shared" si="7"/>
        <v>72</v>
      </c>
      <c r="X77" s="313">
        <f t="shared" si="8"/>
        <v>65</v>
      </c>
      <c r="Y77" s="313">
        <f t="shared" si="10"/>
        <v>7</v>
      </c>
      <c r="Z77" s="313">
        <f t="shared" si="11"/>
        <v>7</v>
      </c>
    </row>
    <row r="78" spans="1:26">
      <c r="A78" s="313" t="s">
        <v>304</v>
      </c>
      <c r="B78" s="313" t="s">
        <v>245</v>
      </c>
      <c r="C78" s="313" t="s">
        <v>246</v>
      </c>
      <c r="D78" s="313" t="s">
        <v>256</v>
      </c>
      <c r="E78" s="313">
        <v>4.72</v>
      </c>
      <c r="F78" s="313">
        <v>5.47</v>
      </c>
      <c r="G78" s="326">
        <v>5.0949999999999998</v>
      </c>
      <c r="H78" s="313">
        <v>3.08</v>
      </c>
      <c r="I78" s="313">
        <v>5.91</v>
      </c>
      <c r="J78" s="313">
        <v>3.01</v>
      </c>
      <c r="K78" s="313">
        <v>3.5999999999999996</v>
      </c>
      <c r="L78" s="326">
        <v>4.0789999999999997</v>
      </c>
      <c r="M78" s="313">
        <v>5.18</v>
      </c>
      <c r="N78" s="313">
        <v>6.5600000000000005</v>
      </c>
      <c r="O78" s="313">
        <v>3.66</v>
      </c>
      <c r="P78" s="326">
        <v>5.1333333333333337</v>
      </c>
      <c r="Q78" s="324">
        <v>4.7691111111111111</v>
      </c>
      <c r="R78" s="313">
        <v>9.9333333333333336</v>
      </c>
      <c r="S78" s="313">
        <v>1.8</v>
      </c>
      <c r="T78" s="313">
        <v>8.1999999999999993</v>
      </c>
      <c r="U78" s="313">
        <v>5.2855333333333325</v>
      </c>
      <c r="V78" s="325">
        <f t="shared" si="9"/>
        <v>4.751697864474405</v>
      </c>
      <c r="W78" s="313">
        <f t="shared" si="7"/>
        <v>71</v>
      </c>
      <c r="X78" s="313">
        <f t="shared" si="8"/>
        <v>76</v>
      </c>
      <c r="Y78" s="313">
        <f t="shared" si="10"/>
        <v>-5</v>
      </c>
      <c r="Z78" s="313">
        <f t="shared" si="11"/>
        <v>5</v>
      </c>
    </row>
    <row r="79" spans="1:26">
      <c r="A79" s="313" t="s">
        <v>328</v>
      </c>
      <c r="D79" s="313" t="s">
        <v>256</v>
      </c>
      <c r="E79" s="313">
        <v>4.25</v>
      </c>
      <c r="F79" s="313">
        <v>1.0199999999999996</v>
      </c>
      <c r="G79" s="326">
        <v>2.6349999999999998</v>
      </c>
      <c r="H79" s="313">
        <v>6.7200000000000006</v>
      </c>
      <c r="I79" s="313">
        <v>5.31</v>
      </c>
      <c r="J79" s="313">
        <v>1.3100000000000005</v>
      </c>
      <c r="K79" s="313">
        <v>3.9800000000000004</v>
      </c>
      <c r="L79" s="326">
        <v>4.7370000000000001</v>
      </c>
      <c r="M79" s="313">
        <v>6.7799999999999994</v>
      </c>
      <c r="N79" s="313">
        <v>6.5600000000000005</v>
      </c>
      <c r="O79" s="313">
        <v>6.88</v>
      </c>
      <c r="P79" s="326">
        <v>6.7399999999999993</v>
      </c>
      <c r="Q79" s="324">
        <v>4.7039999999999997</v>
      </c>
      <c r="R79" s="313">
        <v>4.2</v>
      </c>
      <c r="S79" s="313">
        <v>3.1</v>
      </c>
      <c r="T79" s="313">
        <v>4.0999999999999996</v>
      </c>
      <c r="U79" s="313">
        <v>4.6535999999999991</v>
      </c>
      <c r="V79" s="325">
        <f t="shared" si="9"/>
        <v>4.491069228470324</v>
      </c>
      <c r="W79" s="313">
        <f t="shared" si="7"/>
        <v>70</v>
      </c>
      <c r="X79" s="313">
        <f t="shared" si="8"/>
        <v>67</v>
      </c>
      <c r="Y79" s="313">
        <f t="shared" si="10"/>
        <v>3</v>
      </c>
      <c r="Z79" s="313">
        <f t="shared" si="11"/>
        <v>3</v>
      </c>
    </row>
    <row r="80" spans="1:26">
      <c r="A80" s="313" t="s">
        <v>333</v>
      </c>
      <c r="C80" s="313" t="s">
        <v>263</v>
      </c>
      <c r="D80" s="313" t="s">
        <v>251</v>
      </c>
      <c r="E80" s="313">
        <v>2.3499999999999996</v>
      </c>
      <c r="F80" s="313">
        <v>7.05</v>
      </c>
      <c r="G80" s="326">
        <v>4.6999999999999993</v>
      </c>
      <c r="H80" s="313">
        <v>3.5300000000000002</v>
      </c>
      <c r="I80" s="313">
        <v>4.51</v>
      </c>
      <c r="J80" s="313">
        <v>3.55</v>
      </c>
      <c r="K80" s="313">
        <v>3.62</v>
      </c>
      <c r="L80" s="326">
        <v>3.8825000000000003</v>
      </c>
      <c r="M80" s="313">
        <v>5.96</v>
      </c>
      <c r="N80" s="313">
        <v>5.85</v>
      </c>
      <c r="O80" s="313">
        <v>4.43</v>
      </c>
      <c r="P80" s="326">
        <v>5.4133333333333331</v>
      </c>
      <c r="Q80" s="324">
        <v>4.6652777777777779</v>
      </c>
      <c r="R80" s="313">
        <v>3.3333333333333335</v>
      </c>
      <c r="S80" s="313">
        <v>8.6999999999999993</v>
      </c>
      <c r="T80" s="313">
        <v>8</v>
      </c>
      <c r="U80" s="313">
        <v>4.5320833333333326</v>
      </c>
      <c r="V80" s="325">
        <f t="shared" si="9"/>
        <v>4.636925461033985</v>
      </c>
      <c r="W80" s="313">
        <f t="shared" si="7"/>
        <v>69</v>
      </c>
      <c r="X80" s="313">
        <f t="shared" si="8"/>
        <v>72</v>
      </c>
      <c r="Y80" s="313">
        <f t="shared" si="10"/>
        <v>-3</v>
      </c>
      <c r="Z80" s="313">
        <f t="shared" si="11"/>
        <v>3</v>
      </c>
    </row>
    <row r="81" spans="1:26">
      <c r="A81" s="313" t="s">
        <v>336</v>
      </c>
      <c r="D81" s="313" t="s">
        <v>247</v>
      </c>
      <c r="E81" s="313">
        <v>2.0099999999999998</v>
      </c>
      <c r="F81" s="313">
        <v>3.37</v>
      </c>
      <c r="G81" s="326">
        <v>2.69</v>
      </c>
      <c r="H81" s="313">
        <v>6.42</v>
      </c>
      <c r="I81" s="313">
        <v>7.4700000000000006</v>
      </c>
      <c r="J81" s="313">
        <v>1.7599999999999998</v>
      </c>
      <c r="K81" s="313">
        <v>7.63</v>
      </c>
      <c r="L81" s="326">
        <v>5.6829999999999989</v>
      </c>
      <c r="M81" s="313">
        <v>5.32</v>
      </c>
      <c r="N81" s="313">
        <v>6.67</v>
      </c>
      <c r="O81" s="313">
        <v>4.8</v>
      </c>
      <c r="P81" s="326">
        <v>5.5966666666666667</v>
      </c>
      <c r="Q81" s="324">
        <v>4.6565555555555553</v>
      </c>
      <c r="R81" s="313">
        <v>2</v>
      </c>
      <c r="S81" s="313">
        <v>6.2</v>
      </c>
      <c r="T81" s="313">
        <v>3.8</v>
      </c>
      <c r="U81" s="313">
        <v>4.3909000000000002</v>
      </c>
      <c r="V81" s="325">
        <f t="shared" si="9"/>
        <v>4.4941654323896802</v>
      </c>
      <c r="W81" s="313">
        <f t="shared" si="7"/>
        <v>68</v>
      </c>
      <c r="X81" s="313">
        <f t="shared" si="8"/>
        <v>68</v>
      </c>
      <c r="Y81" s="313">
        <f t="shared" si="10"/>
        <v>0</v>
      </c>
      <c r="Z81" s="313">
        <f t="shared" si="11"/>
        <v>0</v>
      </c>
    </row>
    <row r="82" spans="1:26">
      <c r="A82" s="313" t="s">
        <v>338</v>
      </c>
      <c r="D82" s="313" t="s">
        <v>251</v>
      </c>
      <c r="E82" s="313">
        <v>3.4000000000000004</v>
      </c>
      <c r="F82" s="313">
        <v>3.1799999999999997</v>
      </c>
      <c r="G82" s="326">
        <v>3.29</v>
      </c>
      <c r="H82" s="313">
        <v>5.05</v>
      </c>
      <c r="I82" s="313">
        <v>5.43</v>
      </c>
      <c r="J82" s="313">
        <v>1.1999999999999993</v>
      </c>
      <c r="K82" s="313">
        <v>2.6100000000000003</v>
      </c>
      <c r="L82" s="326">
        <v>4.0984999999999996</v>
      </c>
      <c r="M82" s="313">
        <v>8.68</v>
      </c>
      <c r="N82" s="313">
        <v>6.26</v>
      </c>
      <c r="O82" s="313">
        <v>4.57</v>
      </c>
      <c r="P82" s="326">
        <v>6.503333333333333</v>
      </c>
      <c r="Q82" s="324">
        <v>4.6306111111111106</v>
      </c>
      <c r="R82" s="313">
        <v>2</v>
      </c>
      <c r="S82" s="313">
        <v>3.1</v>
      </c>
      <c r="T82" s="313">
        <v>3.2</v>
      </c>
      <c r="U82" s="313">
        <v>4.3675499999999996</v>
      </c>
      <c r="V82" s="325">
        <f t="shared" si="9"/>
        <v>4.5035697063470446</v>
      </c>
      <c r="W82" s="313">
        <f t="shared" si="7"/>
        <v>67</v>
      </c>
      <c r="X82" s="313">
        <f t="shared" si="8"/>
        <v>69</v>
      </c>
      <c r="Y82" s="313">
        <f t="shared" si="10"/>
        <v>-2</v>
      </c>
      <c r="Z82" s="313">
        <f t="shared" si="11"/>
        <v>2</v>
      </c>
    </row>
    <row r="83" spans="1:26">
      <c r="A83" s="313" t="s">
        <v>317</v>
      </c>
      <c r="B83" s="313" t="s">
        <v>245</v>
      </c>
      <c r="D83" s="313" t="s">
        <v>251</v>
      </c>
      <c r="E83" s="313">
        <v>5.14</v>
      </c>
      <c r="F83" s="313">
        <v>3.84</v>
      </c>
      <c r="G83" s="326">
        <v>4.49</v>
      </c>
      <c r="H83" s="313">
        <v>4.33</v>
      </c>
      <c r="I83" s="313">
        <v>3.9800000000000004</v>
      </c>
      <c r="J83" s="313">
        <v>4.57</v>
      </c>
      <c r="K83" s="313">
        <v>2.16</v>
      </c>
      <c r="L83" s="326">
        <v>4.1589999999999998</v>
      </c>
      <c r="M83" s="313">
        <v>5.5</v>
      </c>
      <c r="N83" s="313">
        <v>7.1899999999999995</v>
      </c>
      <c r="O83" s="313">
        <v>2.87</v>
      </c>
      <c r="P83" s="326">
        <v>5.1866666666666665</v>
      </c>
      <c r="Q83" s="324">
        <v>4.6118888888888891</v>
      </c>
      <c r="R83" s="313">
        <v>8.5</v>
      </c>
      <c r="S83" s="313">
        <v>8.6999999999999993</v>
      </c>
      <c r="T83" s="313">
        <v>9.1</v>
      </c>
      <c r="U83" s="313">
        <v>5.0007000000000001</v>
      </c>
      <c r="V83" s="325">
        <f t="shared" si="9"/>
        <v>4.5988574993528486</v>
      </c>
      <c r="W83" s="313">
        <f t="shared" si="7"/>
        <v>66</v>
      </c>
      <c r="X83" s="313">
        <f t="shared" si="8"/>
        <v>71</v>
      </c>
      <c r="Y83" s="313">
        <f t="shared" si="10"/>
        <v>-5</v>
      </c>
      <c r="Z83" s="313">
        <f t="shared" si="11"/>
        <v>5</v>
      </c>
    </row>
    <row r="84" spans="1:26">
      <c r="A84" s="313" t="s">
        <v>340</v>
      </c>
      <c r="D84" s="313" t="s">
        <v>251</v>
      </c>
      <c r="E84" s="313">
        <v>4.59</v>
      </c>
      <c r="F84" s="313">
        <v>4.58</v>
      </c>
      <c r="G84" s="326">
        <v>4.585</v>
      </c>
      <c r="H84" s="313">
        <v>3.13</v>
      </c>
      <c r="I84" s="313">
        <v>5.93</v>
      </c>
      <c r="J84" s="313">
        <v>3.6500000000000004</v>
      </c>
      <c r="K84" s="313">
        <v>3.25</v>
      </c>
      <c r="L84" s="326">
        <v>4.2459999999999996</v>
      </c>
      <c r="M84" s="313">
        <v>4.22</v>
      </c>
      <c r="N84" s="313">
        <v>6.8100000000000005</v>
      </c>
      <c r="O84" s="313">
        <v>2.83</v>
      </c>
      <c r="P84" s="326">
        <v>4.62</v>
      </c>
      <c r="Q84" s="324">
        <v>4.4836666666666671</v>
      </c>
      <c r="R84" s="313">
        <v>2.6666666666666665</v>
      </c>
      <c r="S84" s="313">
        <v>8.6999999999999993</v>
      </c>
      <c r="T84" s="313">
        <v>6.2</v>
      </c>
      <c r="U84" s="313">
        <v>4.3019666666666661</v>
      </c>
      <c r="V84" s="325">
        <f t="shared" si="9"/>
        <v>4.4815201931958946</v>
      </c>
      <c r="W84" s="313">
        <f t="shared" si="7"/>
        <v>65</v>
      </c>
      <c r="X84" s="313">
        <f t="shared" si="8"/>
        <v>66</v>
      </c>
      <c r="Y84" s="313">
        <f t="shared" si="10"/>
        <v>-1</v>
      </c>
      <c r="Z84" s="313">
        <f t="shared" si="11"/>
        <v>1</v>
      </c>
    </row>
    <row r="85" spans="1:26">
      <c r="A85" s="313" t="s">
        <v>342</v>
      </c>
      <c r="D85" s="313" t="s">
        <v>249</v>
      </c>
      <c r="E85" s="313">
        <v>1.8800000000000008</v>
      </c>
      <c r="F85" s="313">
        <v>3.25</v>
      </c>
      <c r="G85" s="326">
        <v>2.5650000000000004</v>
      </c>
      <c r="H85" s="313">
        <v>5.73</v>
      </c>
      <c r="I85" s="313">
        <v>4.95</v>
      </c>
      <c r="J85" s="313">
        <v>3.9800000000000004</v>
      </c>
      <c r="K85" s="313">
        <v>5.6</v>
      </c>
      <c r="L85" s="326">
        <v>5.0130000000000008</v>
      </c>
      <c r="M85" s="313">
        <v>6.0600000000000005</v>
      </c>
      <c r="N85" s="313">
        <v>5.45</v>
      </c>
      <c r="O85" s="313">
        <v>6</v>
      </c>
      <c r="P85" s="326">
        <v>5.8366666666666669</v>
      </c>
      <c r="Q85" s="324">
        <v>4.4715555555555566</v>
      </c>
      <c r="R85" s="313">
        <v>1.6666666666666667</v>
      </c>
      <c r="S85" s="313">
        <v>1</v>
      </c>
      <c r="T85" s="313">
        <v>2</v>
      </c>
      <c r="U85" s="313">
        <v>4.1910666666666678</v>
      </c>
      <c r="V85" s="325">
        <f t="shared" si="9"/>
        <v>4.3063691075079555</v>
      </c>
      <c r="W85" s="313">
        <f t="shared" si="7"/>
        <v>64</v>
      </c>
      <c r="X85" s="313">
        <f t="shared" si="8"/>
        <v>62</v>
      </c>
      <c r="Y85" s="313">
        <f t="shared" si="10"/>
        <v>2</v>
      </c>
      <c r="Z85" s="313">
        <f t="shared" si="11"/>
        <v>2</v>
      </c>
    </row>
    <row r="86" spans="1:26">
      <c r="A86" s="313" t="s">
        <v>334</v>
      </c>
      <c r="C86" s="313" t="s">
        <v>246</v>
      </c>
      <c r="D86" s="313" t="s">
        <v>251</v>
      </c>
      <c r="E86" s="313">
        <v>1.2899999999999991</v>
      </c>
      <c r="F86" s="313">
        <v>6.87</v>
      </c>
      <c r="G86" s="326">
        <v>4.08</v>
      </c>
      <c r="H86" s="313">
        <v>2.5599999999999996</v>
      </c>
      <c r="I86" s="313">
        <v>3.74</v>
      </c>
      <c r="J86" s="313">
        <v>4.24</v>
      </c>
      <c r="K86" s="313">
        <v>6.6099999999999994</v>
      </c>
      <c r="L86" s="326">
        <v>3.5954999999999995</v>
      </c>
      <c r="M86" s="313">
        <v>7.96</v>
      </c>
      <c r="N86" s="313">
        <v>5.44</v>
      </c>
      <c r="O86" s="313">
        <v>3.75</v>
      </c>
      <c r="P86" s="326">
        <v>5.7166666666666659</v>
      </c>
      <c r="Q86" s="324">
        <v>4.4640555555555546</v>
      </c>
      <c r="R86" s="313">
        <v>4.8666666666666671</v>
      </c>
      <c r="S86" s="313">
        <v>0.2</v>
      </c>
      <c r="T86" s="313">
        <v>6.3</v>
      </c>
      <c r="U86" s="313">
        <v>4.5043166666666661</v>
      </c>
      <c r="V86" s="325">
        <f t="shared" si="9"/>
        <v>4.4054307296383444</v>
      </c>
      <c r="W86" s="313">
        <f t="shared" si="7"/>
        <v>63</v>
      </c>
      <c r="X86" s="313">
        <f t="shared" si="8"/>
        <v>64</v>
      </c>
      <c r="Y86" s="313">
        <f t="shared" si="10"/>
        <v>-1</v>
      </c>
      <c r="Z86" s="313">
        <f t="shared" si="11"/>
        <v>1</v>
      </c>
    </row>
    <row r="87" spans="1:26">
      <c r="A87" s="313" t="s">
        <v>343</v>
      </c>
      <c r="C87" s="313" t="s">
        <v>344</v>
      </c>
      <c r="D87" s="313" t="s">
        <v>256</v>
      </c>
      <c r="E87" s="313">
        <v>4.17</v>
      </c>
      <c r="F87" s="313">
        <v>2.9400000000000004</v>
      </c>
      <c r="G87" s="326">
        <v>3.5550000000000002</v>
      </c>
      <c r="H87" s="313">
        <v>3.5300000000000002</v>
      </c>
      <c r="I87" s="313">
        <v>4.34</v>
      </c>
      <c r="J87" s="313">
        <v>1.3800000000000008</v>
      </c>
      <c r="K87" s="313">
        <v>2.25</v>
      </c>
      <c r="L87" s="326">
        <v>3.2120000000000002</v>
      </c>
      <c r="M87" s="313">
        <v>7.41</v>
      </c>
      <c r="N87" s="313">
        <v>7.29</v>
      </c>
      <c r="O87" s="313">
        <v>4.75</v>
      </c>
      <c r="P87" s="326">
        <v>6.4833333333333334</v>
      </c>
      <c r="Q87" s="324">
        <v>4.4167777777777779</v>
      </c>
      <c r="R87" s="313">
        <v>2</v>
      </c>
      <c r="S87" s="313">
        <v>6.2</v>
      </c>
      <c r="T87" s="313">
        <v>3.8</v>
      </c>
      <c r="U87" s="313">
        <v>4.1750999999999996</v>
      </c>
      <c r="V87" s="325">
        <f t="shared" si="9"/>
        <v>4.2681294684640356</v>
      </c>
      <c r="W87" s="313">
        <f t="shared" si="7"/>
        <v>62</v>
      </c>
      <c r="X87" s="313">
        <f t="shared" si="8"/>
        <v>61</v>
      </c>
      <c r="Y87" s="313">
        <f t="shared" si="10"/>
        <v>1</v>
      </c>
      <c r="Z87" s="313">
        <f t="shared" si="11"/>
        <v>1</v>
      </c>
    </row>
    <row r="88" spans="1:26">
      <c r="A88" s="313" t="s">
        <v>335</v>
      </c>
      <c r="D88" s="313" t="s">
        <v>256</v>
      </c>
      <c r="E88" s="313">
        <v>5.41</v>
      </c>
      <c r="F88" s="313">
        <v>2.5</v>
      </c>
      <c r="G88" s="326">
        <v>3.9550000000000001</v>
      </c>
      <c r="H88" s="313">
        <v>4.83</v>
      </c>
      <c r="I88" s="313">
        <v>5.08</v>
      </c>
      <c r="J88" s="313">
        <v>1.1899999999999995</v>
      </c>
      <c r="K88" s="313">
        <v>3.8200000000000003</v>
      </c>
      <c r="L88" s="326">
        <v>3.9569999999999994</v>
      </c>
      <c r="M88" s="313">
        <v>5.83</v>
      </c>
      <c r="N88" s="313">
        <v>6.59</v>
      </c>
      <c r="O88" s="313">
        <v>3.5599999999999996</v>
      </c>
      <c r="P88" s="326">
        <v>5.3266666666666671</v>
      </c>
      <c r="Q88" s="324">
        <v>4.4128888888888893</v>
      </c>
      <c r="R88" s="313">
        <v>4.8666666666666671</v>
      </c>
      <c r="S88" s="313">
        <v>3.1</v>
      </c>
      <c r="T88" s="313">
        <v>6.1</v>
      </c>
      <c r="U88" s="313">
        <v>4.4582666666666659</v>
      </c>
      <c r="V88" s="325">
        <f t="shared" si="9"/>
        <v>4.3828995752002005</v>
      </c>
      <c r="W88" s="313">
        <f t="shared" si="7"/>
        <v>61</v>
      </c>
      <c r="X88" s="313">
        <f t="shared" si="8"/>
        <v>63</v>
      </c>
      <c r="Y88" s="313">
        <f t="shared" si="10"/>
        <v>-2</v>
      </c>
      <c r="Z88" s="313">
        <f t="shared" si="11"/>
        <v>2</v>
      </c>
    </row>
    <row r="89" spans="1:26">
      <c r="A89" s="313" t="s">
        <v>337</v>
      </c>
      <c r="D89" s="313" t="s">
        <v>247</v>
      </c>
      <c r="E89" s="313">
        <v>2.1399999999999997</v>
      </c>
      <c r="F89" s="313">
        <v>1.1500000000000004</v>
      </c>
      <c r="G89" s="326">
        <v>1.645</v>
      </c>
      <c r="H89" s="313">
        <v>5.23</v>
      </c>
      <c r="I89" s="313">
        <v>6.68</v>
      </c>
      <c r="J89" s="313">
        <v>3.8200000000000003</v>
      </c>
      <c r="K89" s="313">
        <v>6.49</v>
      </c>
      <c r="L89" s="326">
        <v>5.4480000000000004</v>
      </c>
      <c r="M89" s="313">
        <v>4.58</v>
      </c>
      <c r="N89" s="313">
        <v>6.02</v>
      </c>
      <c r="O89" s="313">
        <v>7.76</v>
      </c>
      <c r="P89" s="326">
        <v>6.12</v>
      </c>
      <c r="Q89" s="324">
        <v>4.4043333333333337</v>
      </c>
      <c r="R89" s="313">
        <v>4.2</v>
      </c>
      <c r="S89" s="313">
        <v>6.2</v>
      </c>
      <c r="T89" s="313">
        <v>5.7</v>
      </c>
      <c r="U89" s="313">
        <v>4.3838999999999997</v>
      </c>
      <c r="V89" s="325">
        <f t="shared" si="9"/>
        <v>4.0177058017014158</v>
      </c>
      <c r="W89" s="313">
        <f t="shared" si="7"/>
        <v>60</v>
      </c>
      <c r="X89" s="313">
        <f t="shared" si="8"/>
        <v>51</v>
      </c>
      <c r="Y89" s="313">
        <f t="shared" si="10"/>
        <v>9</v>
      </c>
      <c r="Z89" s="313">
        <f t="shared" si="11"/>
        <v>9</v>
      </c>
    </row>
    <row r="90" spans="1:26">
      <c r="A90" s="313" t="s">
        <v>346</v>
      </c>
      <c r="D90" s="313" t="s">
        <v>268</v>
      </c>
      <c r="E90" s="313">
        <v>5.83</v>
      </c>
      <c r="F90" s="313">
        <v>4.5</v>
      </c>
      <c r="G90" s="326">
        <v>5.165</v>
      </c>
      <c r="H90" s="313">
        <v>3.0199999999999996</v>
      </c>
      <c r="I90" s="313">
        <v>3.24</v>
      </c>
      <c r="J90" s="313">
        <v>1.6099999999999994</v>
      </c>
      <c r="K90" s="313">
        <v>2.6799999999999997</v>
      </c>
      <c r="L90" s="326">
        <v>2.7274999999999996</v>
      </c>
      <c r="M90" s="313">
        <v>7.2</v>
      </c>
      <c r="N90" s="313">
        <v>5.38</v>
      </c>
      <c r="O90" s="313">
        <v>3.17</v>
      </c>
      <c r="P90" s="326">
        <v>5.25</v>
      </c>
      <c r="Q90" s="324">
        <v>4.3808333333333334</v>
      </c>
      <c r="R90" s="313">
        <v>1.6666666666666667</v>
      </c>
      <c r="S90" s="313">
        <v>7.6</v>
      </c>
      <c r="T90" s="313">
        <v>3.3</v>
      </c>
      <c r="U90" s="313">
        <v>4.1094166666666663</v>
      </c>
      <c r="V90" s="325">
        <f t="shared" si="9"/>
        <v>4.2614665778267771</v>
      </c>
      <c r="W90" s="313">
        <f t="shared" si="7"/>
        <v>59</v>
      </c>
      <c r="X90" s="313">
        <f t="shared" si="8"/>
        <v>59</v>
      </c>
      <c r="Y90" s="313">
        <f t="shared" si="10"/>
        <v>0</v>
      </c>
      <c r="Z90" s="313">
        <f t="shared" si="11"/>
        <v>0</v>
      </c>
    </row>
    <row r="91" spans="1:26">
      <c r="A91" s="313" t="s">
        <v>345</v>
      </c>
      <c r="C91" s="313" t="s">
        <v>344</v>
      </c>
      <c r="D91" s="313" t="s">
        <v>251</v>
      </c>
      <c r="E91" s="313">
        <v>4.62</v>
      </c>
      <c r="F91" s="313">
        <v>3.25</v>
      </c>
      <c r="G91" s="326">
        <v>3.9350000000000001</v>
      </c>
      <c r="H91" s="313">
        <v>4.58</v>
      </c>
      <c r="I91" s="313">
        <v>4.5</v>
      </c>
      <c r="J91" s="313">
        <v>1.2899999999999991</v>
      </c>
      <c r="K91" s="313">
        <v>2.41</v>
      </c>
      <c r="L91" s="326">
        <v>3.6209999999999996</v>
      </c>
      <c r="M91" s="313">
        <v>6.55</v>
      </c>
      <c r="N91" s="313">
        <v>6.16</v>
      </c>
      <c r="O91" s="313">
        <v>3.42</v>
      </c>
      <c r="P91" s="326">
        <v>5.3766666666666678</v>
      </c>
      <c r="Q91" s="324">
        <v>4.310888888888889</v>
      </c>
      <c r="R91" s="313">
        <v>2.6666666666666665</v>
      </c>
      <c r="S91" s="313">
        <v>0.2</v>
      </c>
      <c r="T91" s="313">
        <v>4.5</v>
      </c>
      <c r="U91" s="313">
        <v>4.146466666666667</v>
      </c>
      <c r="V91" s="325">
        <f t="shared" si="9"/>
        <v>4.2678960238225692</v>
      </c>
      <c r="W91" s="313">
        <f t="shared" si="7"/>
        <v>58</v>
      </c>
      <c r="X91" s="313">
        <f t="shared" si="8"/>
        <v>60</v>
      </c>
      <c r="Y91" s="313">
        <f t="shared" si="10"/>
        <v>-2</v>
      </c>
      <c r="Z91" s="313">
        <f t="shared" si="11"/>
        <v>2</v>
      </c>
    </row>
    <row r="92" spans="1:26">
      <c r="A92" s="313" t="s">
        <v>350</v>
      </c>
      <c r="D92" s="313" t="s">
        <v>256</v>
      </c>
      <c r="E92" s="313">
        <v>4.5999999999999996</v>
      </c>
      <c r="F92" s="313">
        <v>1.3699999999999992</v>
      </c>
      <c r="G92" s="326">
        <v>2.9849999999999994</v>
      </c>
      <c r="H92" s="313">
        <v>3.5999999999999996</v>
      </c>
      <c r="I92" s="313">
        <v>4.8499999999999996</v>
      </c>
      <c r="J92" s="313">
        <v>1.7699999999999996</v>
      </c>
      <c r="K92" s="313">
        <v>5.33</v>
      </c>
      <c r="L92" s="326">
        <v>3.6664999999999996</v>
      </c>
      <c r="M92" s="313">
        <v>4.8</v>
      </c>
      <c r="N92" s="313">
        <v>6.92</v>
      </c>
      <c r="O92" s="313">
        <v>6.8100000000000005</v>
      </c>
      <c r="P92" s="326">
        <v>6.1766666666666667</v>
      </c>
      <c r="Q92" s="324">
        <v>4.2760555555555548</v>
      </c>
      <c r="R92" s="313">
        <v>1.3333333333333333</v>
      </c>
      <c r="S92" s="313">
        <v>9.6999999999999993</v>
      </c>
      <c r="T92" s="313">
        <v>3.1</v>
      </c>
      <c r="U92" s="313">
        <v>3.981783333333333</v>
      </c>
      <c r="V92" s="325">
        <f t="shared" si="9"/>
        <v>4.1387028561202257</v>
      </c>
      <c r="W92" s="313">
        <f t="shared" si="7"/>
        <v>57</v>
      </c>
      <c r="X92" s="313">
        <f t="shared" si="8"/>
        <v>55</v>
      </c>
      <c r="Y92" s="313">
        <f t="shared" si="10"/>
        <v>2</v>
      </c>
      <c r="Z92" s="313">
        <f t="shared" si="11"/>
        <v>2</v>
      </c>
    </row>
    <row r="93" spans="1:26">
      <c r="A93" s="313" t="s">
        <v>348</v>
      </c>
      <c r="D93" s="313" t="s">
        <v>251</v>
      </c>
      <c r="E93" s="313">
        <v>2.95</v>
      </c>
      <c r="F93" s="313">
        <v>3.24</v>
      </c>
      <c r="G93" s="326">
        <v>3.0950000000000002</v>
      </c>
      <c r="H93" s="313">
        <v>5.66</v>
      </c>
      <c r="I93" s="313">
        <v>4.3099999999999996</v>
      </c>
      <c r="J93" s="313">
        <v>1.4000000000000004</v>
      </c>
      <c r="K93" s="313">
        <v>6.35</v>
      </c>
      <c r="L93" s="326">
        <v>4.157</v>
      </c>
      <c r="M93" s="313">
        <v>5.09</v>
      </c>
      <c r="N93" s="313">
        <v>6.27</v>
      </c>
      <c r="O93" s="313">
        <v>4.97</v>
      </c>
      <c r="P93" s="326">
        <v>5.4433333333333325</v>
      </c>
      <c r="Q93" s="324">
        <v>4.2317777777777783</v>
      </c>
      <c r="R93" s="313">
        <v>2.3333333333333335</v>
      </c>
      <c r="S93" s="313">
        <v>8.6999999999999993</v>
      </c>
      <c r="T93" s="313">
        <v>5.3</v>
      </c>
      <c r="U93" s="313">
        <v>4.0419333333333327</v>
      </c>
      <c r="V93" s="325">
        <f t="shared" si="9"/>
        <v>4.1585493329047791</v>
      </c>
      <c r="W93" s="313">
        <f t="shared" si="7"/>
        <v>56</v>
      </c>
      <c r="X93" s="313">
        <f t="shared" si="8"/>
        <v>57</v>
      </c>
      <c r="Y93" s="313">
        <f t="shared" si="10"/>
        <v>-1</v>
      </c>
      <c r="Z93" s="313">
        <f t="shared" si="11"/>
        <v>1</v>
      </c>
    </row>
    <row r="94" spans="1:26">
      <c r="A94" s="313" t="s">
        <v>341</v>
      </c>
      <c r="D94" s="313" t="s">
        <v>251</v>
      </c>
      <c r="E94" s="313">
        <v>3.74</v>
      </c>
      <c r="F94" s="313">
        <v>4.88</v>
      </c>
      <c r="G94" s="326">
        <v>4.3100000000000005</v>
      </c>
      <c r="H94" s="313">
        <v>2.0700000000000003</v>
      </c>
      <c r="I94" s="313">
        <v>3.34</v>
      </c>
      <c r="J94" s="313">
        <v>4.6900000000000004</v>
      </c>
      <c r="K94" s="313">
        <v>2.6399999999999997</v>
      </c>
      <c r="L94" s="326">
        <v>3.198</v>
      </c>
      <c r="M94" s="313">
        <v>5.84</v>
      </c>
      <c r="N94" s="313">
        <v>5.78</v>
      </c>
      <c r="O94" s="313">
        <v>3.75</v>
      </c>
      <c r="P94" s="326">
        <v>5.123333333333334</v>
      </c>
      <c r="Q94" s="324">
        <v>4.2104444444444447</v>
      </c>
      <c r="R94" s="313">
        <v>4.8666666666666671</v>
      </c>
      <c r="S94" s="313">
        <v>9.6999999999999993</v>
      </c>
      <c r="T94" s="313">
        <v>7.4</v>
      </c>
      <c r="U94" s="313">
        <v>4.2760666666666669</v>
      </c>
      <c r="V94" s="325">
        <f t="shared" si="9"/>
        <v>4.1593514481018037</v>
      </c>
      <c r="W94" s="313">
        <f t="shared" si="7"/>
        <v>55</v>
      </c>
      <c r="X94" s="313">
        <f t="shared" si="8"/>
        <v>58</v>
      </c>
      <c r="Y94" s="313">
        <f t="shared" si="10"/>
        <v>-3</v>
      </c>
      <c r="Z94" s="313">
        <f t="shared" si="11"/>
        <v>3</v>
      </c>
    </row>
    <row r="95" spans="1:26">
      <c r="A95" s="313" t="s">
        <v>339</v>
      </c>
      <c r="D95" s="313" t="s">
        <v>268</v>
      </c>
      <c r="E95" s="313">
        <v>6.79</v>
      </c>
      <c r="F95" s="313">
        <v>3.01</v>
      </c>
      <c r="G95" s="326">
        <v>4.9000000000000004</v>
      </c>
      <c r="H95" s="313">
        <v>2.71</v>
      </c>
      <c r="I95" s="313">
        <v>4.1399999999999997</v>
      </c>
      <c r="J95" s="313">
        <v>1.8900000000000006</v>
      </c>
      <c r="K95" s="313">
        <v>3.9000000000000004</v>
      </c>
      <c r="L95" s="326">
        <v>3.0649999999999999</v>
      </c>
      <c r="M95" s="313">
        <v>4.2300000000000004</v>
      </c>
      <c r="N95" s="313">
        <v>6.25</v>
      </c>
      <c r="O95" s="313">
        <v>3.3899999999999997</v>
      </c>
      <c r="P95" s="326">
        <v>4.623333333333334</v>
      </c>
      <c r="Q95" s="324">
        <v>4.1961111111111116</v>
      </c>
      <c r="R95" s="313">
        <v>5.3000000000000007</v>
      </c>
      <c r="S95" s="313">
        <v>8.6999999999999993</v>
      </c>
      <c r="T95" s="313">
        <v>6.2</v>
      </c>
      <c r="U95" s="313">
        <v>4.3065000000000007</v>
      </c>
      <c r="V95" s="325">
        <f t="shared" si="9"/>
        <v>4.139678187655119</v>
      </c>
      <c r="W95" s="313">
        <f t="shared" si="7"/>
        <v>54</v>
      </c>
      <c r="X95" s="313">
        <f t="shared" si="8"/>
        <v>56</v>
      </c>
      <c r="Y95" s="313">
        <f t="shared" si="10"/>
        <v>-2</v>
      </c>
      <c r="Z95" s="313">
        <f t="shared" si="11"/>
        <v>2</v>
      </c>
    </row>
    <row r="96" spans="1:26">
      <c r="A96" s="313" t="s">
        <v>351</v>
      </c>
      <c r="D96" s="313" t="s">
        <v>268</v>
      </c>
      <c r="E96" s="313">
        <v>2.87</v>
      </c>
      <c r="F96" s="313">
        <v>4.08</v>
      </c>
      <c r="G96" s="326">
        <v>3.4750000000000001</v>
      </c>
      <c r="H96" s="313">
        <v>3.84</v>
      </c>
      <c r="I96" s="313">
        <v>4.5</v>
      </c>
      <c r="J96" s="313">
        <v>1.7100000000000009</v>
      </c>
      <c r="K96" s="313">
        <v>4.54</v>
      </c>
      <c r="L96" s="326">
        <v>3.5734999999999997</v>
      </c>
      <c r="M96" s="313">
        <v>4.7</v>
      </c>
      <c r="N96" s="313">
        <v>6.54</v>
      </c>
      <c r="O96" s="313">
        <v>5.04</v>
      </c>
      <c r="P96" s="326">
        <v>5.4266666666666667</v>
      </c>
      <c r="Q96" s="324">
        <v>4.1583888888888891</v>
      </c>
      <c r="R96" s="313">
        <v>1</v>
      </c>
      <c r="S96" s="313">
        <v>1.8</v>
      </c>
      <c r="T96" s="313">
        <v>1</v>
      </c>
      <c r="U96" s="313">
        <v>3.8425499999999997</v>
      </c>
      <c r="V96" s="325">
        <f t="shared" si="9"/>
        <v>4.0980833878624292</v>
      </c>
      <c r="W96" s="313">
        <f t="shared" si="7"/>
        <v>53</v>
      </c>
      <c r="X96" s="313">
        <f t="shared" si="8"/>
        <v>54</v>
      </c>
      <c r="Y96" s="313">
        <f t="shared" si="10"/>
        <v>-1</v>
      </c>
      <c r="Z96" s="313">
        <f t="shared" si="11"/>
        <v>1</v>
      </c>
    </row>
    <row r="97" spans="1:26">
      <c r="A97" s="313" t="s">
        <v>349</v>
      </c>
      <c r="C97" s="313" t="s">
        <v>263</v>
      </c>
      <c r="D97" s="313" t="s">
        <v>247</v>
      </c>
      <c r="E97" s="313">
        <v>3.1900000000000004</v>
      </c>
      <c r="F97" s="313">
        <v>3.21</v>
      </c>
      <c r="G97" s="326">
        <v>3.2</v>
      </c>
      <c r="H97" s="313">
        <v>6.59</v>
      </c>
      <c r="I97" s="313">
        <v>4.9800000000000004</v>
      </c>
      <c r="J97" s="313">
        <v>1.2599999999999998</v>
      </c>
      <c r="K97" s="313">
        <v>4.67</v>
      </c>
      <c r="L97" s="326">
        <v>4.5979999999999999</v>
      </c>
      <c r="M97" s="313">
        <v>2.04</v>
      </c>
      <c r="N97" s="313">
        <v>5.57</v>
      </c>
      <c r="O97" s="313">
        <v>5.58</v>
      </c>
      <c r="P97" s="326">
        <v>4.3966666666666674</v>
      </c>
      <c r="Q97" s="324">
        <v>4.0648888888888886</v>
      </c>
      <c r="R97" s="313">
        <v>3.3333333333333335</v>
      </c>
      <c r="S97" s="313">
        <v>8.6999999999999993</v>
      </c>
      <c r="T97" s="313">
        <v>8</v>
      </c>
      <c r="U97" s="313">
        <v>3.9917333333333338</v>
      </c>
      <c r="V97" s="325">
        <f t="shared" si="9"/>
        <v>4.0315820827985744</v>
      </c>
      <c r="W97" s="313">
        <f t="shared" si="7"/>
        <v>52</v>
      </c>
      <c r="X97" s="313">
        <f t="shared" si="8"/>
        <v>53</v>
      </c>
      <c r="Y97" s="313">
        <f t="shared" si="10"/>
        <v>-1</v>
      </c>
      <c r="Z97" s="313">
        <f t="shared" si="11"/>
        <v>1</v>
      </c>
    </row>
    <row r="98" spans="1:26">
      <c r="A98" s="313" t="s">
        <v>352</v>
      </c>
      <c r="D98" s="313" t="s">
        <v>268</v>
      </c>
      <c r="E98" s="313">
        <v>6.62</v>
      </c>
      <c r="F98" s="313">
        <v>2.4900000000000002</v>
      </c>
      <c r="G98" s="326">
        <v>4.5549999999999997</v>
      </c>
      <c r="H98" s="313">
        <v>3.24</v>
      </c>
      <c r="I98" s="313">
        <v>4.22</v>
      </c>
      <c r="J98" s="313">
        <v>1.7599999999999998</v>
      </c>
      <c r="K98" s="313">
        <v>2.9000000000000004</v>
      </c>
      <c r="L98" s="326">
        <v>3.1959999999999997</v>
      </c>
      <c r="M98" s="313">
        <v>4.22</v>
      </c>
      <c r="N98" s="313">
        <v>6.79</v>
      </c>
      <c r="O98" s="313">
        <v>2.3099999999999996</v>
      </c>
      <c r="P98" s="326">
        <v>4.4400000000000004</v>
      </c>
      <c r="Q98" s="324">
        <v>4.0636666666666663</v>
      </c>
      <c r="R98" s="313">
        <v>1.6666666666666667</v>
      </c>
      <c r="S98" s="313">
        <v>8.6999999999999993</v>
      </c>
      <c r="T98" s="313">
        <v>3.5</v>
      </c>
      <c r="U98" s="313">
        <v>3.8239666666666658</v>
      </c>
      <c r="V98" s="325">
        <f t="shared" si="9"/>
        <v>4.0304432465263149</v>
      </c>
      <c r="W98" s="313">
        <f t="shared" ref="W98:W129" si="12">RANK(Q98, Risk, 1)</f>
        <v>51</v>
      </c>
      <c r="X98" s="313">
        <f t="shared" ref="X98:X129" si="13">RANK(V98, RiskAggregAlt, 1)</f>
        <v>52</v>
      </c>
      <c r="Y98" s="313">
        <f t="shared" si="10"/>
        <v>-1</v>
      </c>
      <c r="Z98" s="313">
        <f t="shared" si="11"/>
        <v>1</v>
      </c>
    </row>
    <row r="99" spans="1:26">
      <c r="A99" s="313" t="s">
        <v>353</v>
      </c>
      <c r="D99" s="313" t="s">
        <v>247</v>
      </c>
      <c r="E99" s="313">
        <v>2.1799999999999997</v>
      </c>
      <c r="F99" s="313">
        <v>1.58</v>
      </c>
      <c r="G99" s="326">
        <v>1.88</v>
      </c>
      <c r="H99" s="313">
        <v>5.45</v>
      </c>
      <c r="I99" s="313">
        <v>7.01</v>
      </c>
      <c r="J99" s="313">
        <v>3.25</v>
      </c>
      <c r="K99" s="313">
        <v>5.04</v>
      </c>
      <c r="L99" s="326">
        <v>5.4254999999999995</v>
      </c>
      <c r="M99" s="313">
        <v>4.0599999999999996</v>
      </c>
      <c r="N99" s="313">
        <v>5.15</v>
      </c>
      <c r="O99" s="313">
        <v>5.38</v>
      </c>
      <c r="P99" s="326">
        <v>4.8633333333333333</v>
      </c>
      <c r="Q99" s="324">
        <v>4.056277777777777</v>
      </c>
      <c r="R99" s="313">
        <v>1.6666666666666667</v>
      </c>
      <c r="S99" s="313">
        <v>3.1</v>
      </c>
      <c r="T99" s="313">
        <v>2.4</v>
      </c>
      <c r="U99" s="313">
        <v>3.8173166666666662</v>
      </c>
      <c r="V99" s="325">
        <f t="shared" si="9"/>
        <v>3.8101118466888204</v>
      </c>
      <c r="W99" s="313">
        <f t="shared" si="12"/>
        <v>50</v>
      </c>
      <c r="X99" s="313">
        <f t="shared" si="13"/>
        <v>49</v>
      </c>
      <c r="Y99" s="313">
        <f t="shared" si="10"/>
        <v>1</v>
      </c>
      <c r="Z99" s="313">
        <f t="shared" si="11"/>
        <v>1</v>
      </c>
    </row>
    <row r="100" spans="1:26">
      <c r="A100" s="313" t="s">
        <v>356</v>
      </c>
      <c r="D100" s="313" t="s">
        <v>268</v>
      </c>
      <c r="E100" s="313">
        <v>5.42</v>
      </c>
      <c r="F100" s="313">
        <v>2.21</v>
      </c>
      <c r="G100" s="326">
        <v>3.8149999999999999</v>
      </c>
      <c r="H100" s="313">
        <v>2.74</v>
      </c>
      <c r="I100" s="313">
        <v>2.0499999999999998</v>
      </c>
      <c r="J100" s="313">
        <v>1.7200000000000006</v>
      </c>
      <c r="K100" s="313">
        <v>3.6500000000000004</v>
      </c>
      <c r="L100" s="326">
        <v>2.2890000000000001</v>
      </c>
      <c r="M100" s="313">
        <v>7.6899999999999995</v>
      </c>
      <c r="N100" s="313">
        <v>6.16</v>
      </c>
      <c r="O100" s="313">
        <v>3.75</v>
      </c>
      <c r="P100" s="326">
        <v>5.8666666666666671</v>
      </c>
      <c r="Q100" s="324">
        <v>3.9902222222222221</v>
      </c>
      <c r="R100" s="313">
        <v>1.3333333333333333</v>
      </c>
      <c r="S100" s="313">
        <v>8.6999999999999993</v>
      </c>
      <c r="T100" s="313">
        <v>2.9</v>
      </c>
      <c r="U100" s="313">
        <v>3.724533333333333</v>
      </c>
      <c r="V100" s="325">
        <f t="shared" si="9"/>
        <v>3.8061568178256979</v>
      </c>
      <c r="W100" s="313">
        <f t="shared" si="12"/>
        <v>49</v>
      </c>
      <c r="X100" s="313">
        <f t="shared" si="13"/>
        <v>48</v>
      </c>
      <c r="Y100" s="313">
        <f t="shared" si="10"/>
        <v>1</v>
      </c>
      <c r="Z100" s="313">
        <f t="shared" si="11"/>
        <v>1</v>
      </c>
    </row>
    <row r="101" spans="1:26">
      <c r="A101" s="313" t="s">
        <v>347</v>
      </c>
      <c r="D101" s="313" t="s">
        <v>256</v>
      </c>
      <c r="E101" s="313">
        <v>1.6400000000000006</v>
      </c>
      <c r="F101" s="313">
        <v>1.4299999999999997</v>
      </c>
      <c r="G101" s="326">
        <v>1.5350000000000001</v>
      </c>
      <c r="H101" s="313">
        <v>4.43</v>
      </c>
      <c r="I101" s="313">
        <v>6.68</v>
      </c>
      <c r="J101" s="313">
        <v>0.91000000000000014</v>
      </c>
      <c r="K101" s="313">
        <v>6.2200000000000006</v>
      </c>
      <c r="L101" s="326">
        <v>4.4269999999999996</v>
      </c>
      <c r="M101" s="313">
        <v>5.03</v>
      </c>
      <c r="N101" s="313">
        <v>6.8599999999999994</v>
      </c>
      <c r="O101" s="313">
        <v>5.87</v>
      </c>
      <c r="P101" s="326">
        <v>5.9200000000000008</v>
      </c>
      <c r="Q101" s="324">
        <v>3.960666666666667</v>
      </c>
      <c r="R101" s="313">
        <v>4.8666666666666671</v>
      </c>
      <c r="S101" s="313">
        <v>8.6999999999999993</v>
      </c>
      <c r="T101" s="313">
        <v>8</v>
      </c>
      <c r="U101" s="313">
        <v>4.0512666666666668</v>
      </c>
      <c r="V101" s="325">
        <f t="shared" si="9"/>
        <v>3.6157334646557526</v>
      </c>
      <c r="W101" s="313">
        <f t="shared" si="12"/>
        <v>48</v>
      </c>
      <c r="X101" s="313">
        <f t="shared" si="13"/>
        <v>45</v>
      </c>
      <c r="Y101" s="313">
        <f t="shared" si="10"/>
        <v>3</v>
      </c>
      <c r="Z101" s="313">
        <f t="shared" si="11"/>
        <v>3</v>
      </c>
    </row>
    <row r="102" spans="1:26">
      <c r="A102" s="313" t="s">
        <v>358</v>
      </c>
      <c r="D102" s="313" t="s">
        <v>268</v>
      </c>
      <c r="E102" s="313">
        <v>2.25</v>
      </c>
      <c r="F102" s="313">
        <v>2.17</v>
      </c>
      <c r="G102" s="326">
        <v>2.21</v>
      </c>
      <c r="H102" s="313">
        <v>4.04</v>
      </c>
      <c r="I102" s="313">
        <v>5.62</v>
      </c>
      <c r="J102" s="313">
        <v>1.4399999999999995</v>
      </c>
      <c r="K102" s="313">
        <v>3.0199999999999996</v>
      </c>
      <c r="L102" s="326">
        <v>3.8919999999999995</v>
      </c>
      <c r="M102" s="313">
        <v>5.01</v>
      </c>
      <c r="N102" s="313">
        <v>7.2799999999999994</v>
      </c>
      <c r="O102" s="313">
        <v>4.49</v>
      </c>
      <c r="P102" s="326">
        <v>5.5933333333333337</v>
      </c>
      <c r="Q102" s="324">
        <v>3.8984444444444448</v>
      </c>
      <c r="R102" s="313">
        <v>1.3333333333333333</v>
      </c>
      <c r="S102" s="313">
        <v>4.5999999999999996</v>
      </c>
      <c r="T102" s="313">
        <v>2.1</v>
      </c>
      <c r="U102" s="313">
        <v>3.6419333333333328</v>
      </c>
      <c r="V102" s="325">
        <f t="shared" si="9"/>
        <v>3.7254272271967968</v>
      </c>
      <c r="W102" s="313">
        <f t="shared" si="12"/>
        <v>47</v>
      </c>
      <c r="X102" s="313">
        <f t="shared" si="13"/>
        <v>46</v>
      </c>
      <c r="Y102" s="313">
        <f t="shared" si="10"/>
        <v>1</v>
      </c>
      <c r="Z102" s="313">
        <f t="shared" si="11"/>
        <v>1</v>
      </c>
    </row>
    <row r="103" spans="1:26">
      <c r="A103" s="313" t="s">
        <v>355</v>
      </c>
      <c r="D103" s="313" t="s">
        <v>251</v>
      </c>
      <c r="E103" s="313">
        <v>1.5099999999999998</v>
      </c>
      <c r="F103" s="313">
        <v>4.1900000000000004</v>
      </c>
      <c r="G103" s="326">
        <v>2.85</v>
      </c>
      <c r="H103" s="313">
        <v>2.9299999999999997</v>
      </c>
      <c r="I103" s="313">
        <v>3.6500000000000004</v>
      </c>
      <c r="J103" s="313">
        <v>5.63</v>
      </c>
      <c r="K103" s="313">
        <v>3.66</v>
      </c>
      <c r="L103" s="326">
        <v>3.8934999999999995</v>
      </c>
      <c r="M103" s="313">
        <v>4.84</v>
      </c>
      <c r="N103" s="313">
        <v>6.8599999999999994</v>
      </c>
      <c r="O103" s="313">
        <v>3</v>
      </c>
      <c r="P103" s="326">
        <v>4.8999999999999995</v>
      </c>
      <c r="Q103" s="324">
        <v>3.8811666666666667</v>
      </c>
      <c r="R103" s="313">
        <v>2.6666666666666665</v>
      </c>
      <c r="S103" s="313">
        <v>4.5999999999999996</v>
      </c>
      <c r="T103" s="313">
        <v>5.4</v>
      </c>
      <c r="U103" s="313">
        <v>3.7597166666666659</v>
      </c>
      <c r="V103" s="325">
        <f t="shared" si="9"/>
        <v>3.8195458597503205</v>
      </c>
      <c r="W103" s="313">
        <f t="shared" si="12"/>
        <v>46</v>
      </c>
      <c r="X103" s="313">
        <f t="shared" si="13"/>
        <v>50</v>
      </c>
      <c r="Y103" s="313">
        <f t="shared" si="10"/>
        <v>-4</v>
      </c>
      <c r="Z103" s="313">
        <f t="shared" si="11"/>
        <v>4</v>
      </c>
    </row>
    <row r="104" spans="1:26">
      <c r="A104" s="313" t="s">
        <v>354</v>
      </c>
      <c r="D104" s="313" t="s">
        <v>251</v>
      </c>
      <c r="E104" s="313">
        <v>2.17</v>
      </c>
      <c r="F104" s="313">
        <v>5.16</v>
      </c>
      <c r="G104" s="326">
        <v>3.665</v>
      </c>
      <c r="H104" s="313">
        <v>3.1500000000000004</v>
      </c>
      <c r="I104" s="313">
        <v>3.33</v>
      </c>
      <c r="J104" s="313">
        <v>1.1099999999999994</v>
      </c>
      <c r="K104" s="313">
        <v>4.22</v>
      </c>
      <c r="L104" s="326">
        <v>2.7564999999999995</v>
      </c>
      <c r="M104" s="313">
        <v>6.21</v>
      </c>
      <c r="N104" s="313">
        <v>5.9</v>
      </c>
      <c r="O104" s="313">
        <v>3.25</v>
      </c>
      <c r="P104" s="326">
        <v>5.12</v>
      </c>
      <c r="Q104" s="324">
        <v>3.8471666666666664</v>
      </c>
      <c r="R104" s="313">
        <v>3.1</v>
      </c>
      <c r="S104" s="313">
        <v>8.6999999999999993</v>
      </c>
      <c r="T104" s="313">
        <v>5.3</v>
      </c>
      <c r="U104" s="313">
        <v>3.7724499999999996</v>
      </c>
      <c r="V104" s="325">
        <f t="shared" si="9"/>
        <v>3.7659764255762691</v>
      </c>
      <c r="W104" s="313">
        <f t="shared" si="12"/>
        <v>45</v>
      </c>
      <c r="X104" s="313">
        <f t="shared" si="13"/>
        <v>47</v>
      </c>
      <c r="Y104" s="313">
        <f t="shared" si="10"/>
        <v>-2</v>
      </c>
      <c r="Z104" s="313">
        <f t="shared" si="11"/>
        <v>2</v>
      </c>
    </row>
    <row r="105" spans="1:26">
      <c r="A105" s="313" t="s">
        <v>425</v>
      </c>
      <c r="D105" s="313" t="s">
        <v>256</v>
      </c>
      <c r="E105" s="313">
        <v>0.92999999999999972</v>
      </c>
      <c r="F105" s="313">
        <v>0.36999999999999922</v>
      </c>
      <c r="G105" s="326">
        <v>0.64999999999999947</v>
      </c>
      <c r="H105" s="313">
        <v>4.5</v>
      </c>
      <c r="I105" s="313">
        <v>6.26</v>
      </c>
      <c r="J105" s="313">
        <v>1.6400000000000006</v>
      </c>
      <c r="K105" s="313">
        <v>3.74</v>
      </c>
      <c r="L105" s="326">
        <v>4.3630000000000004</v>
      </c>
      <c r="M105" s="313">
        <v>4.7</v>
      </c>
      <c r="N105" s="313">
        <v>8.4700000000000006</v>
      </c>
      <c r="O105" s="313">
        <v>6.3900000000000006</v>
      </c>
      <c r="P105" s="326">
        <v>6.5200000000000005</v>
      </c>
      <c r="Q105" s="324">
        <v>3.8443333333333336</v>
      </c>
      <c r="R105" s="313">
        <v>1.3333333333333333</v>
      </c>
      <c r="S105" s="313">
        <v>0.2</v>
      </c>
      <c r="T105" s="313">
        <v>1.2</v>
      </c>
      <c r="U105" s="313">
        <v>3.5932333333333335</v>
      </c>
      <c r="V105" s="325">
        <f t="shared" si="9"/>
        <v>3.0875666226736089</v>
      </c>
      <c r="W105" s="313">
        <f t="shared" si="12"/>
        <v>44</v>
      </c>
      <c r="X105" s="313">
        <f t="shared" si="13"/>
        <v>33</v>
      </c>
      <c r="Y105" s="313">
        <f t="shared" si="10"/>
        <v>11</v>
      </c>
      <c r="Z105" s="313">
        <f t="shared" si="11"/>
        <v>11</v>
      </c>
    </row>
    <row r="106" spans="1:26">
      <c r="A106" s="327" t="s">
        <v>361</v>
      </c>
      <c r="B106" s="327"/>
      <c r="C106" s="327"/>
      <c r="D106" s="327" t="s">
        <v>256</v>
      </c>
      <c r="E106" s="327">
        <v>0.58999999999999986</v>
      </c>
      <c r="F106" s="327">
        <v>0.40000000000000036</v>
      </c>
      <c r="G106" s="328">
        <v>0.49500000000000011</v>
      </c>
      <c r="H106" s="327">
        <v>4.26</v>
      </c>
      <c r="I106" s="327">
        <v>6.26</v>
      </c>
      <c r="J106" s="327">
        <v>1.6300000000000008</v>
      </c>
      <c r="K106" s="327">
        <v>3.49</v>
      </c>
      <c r="L106" s="328">
        <v>4.2639999999999993</v>
      </c>
      <c r="M106" s="327">
        <v>5.87</v>
      </c>
      <c r="N106" s="327">
        <v>8.02</v>
      </c>
      <c r="O106" s="327">
        <v>6.3</v>
      </c>
      <c r="P106" s="328">
        <v>6.73</v>
      </c>
      <c r="Q106" s="324">
        <v>3.8296666666666668</v>
      </c>
      <c r="R106" s="313">
        <v>0.33333333333333331</v>
      </c>
      <c r="S106" s="313">
        <v>0.2</v>
      </c>
      <c r="T106" s="313">
        <v>0.2</v>
      </c>
      <c r="U106" s="313">
        <v>3.4800333333333331</v>
      </c>
      <c r="V106" s="325">
        <f t="shared" si="9"/>
        <v>2.9460222982009259</v>
      </c>
      <c r="W106" s="327">
        <f t="shared" si="12"/>
        <v>43</v>
      </c>
      <c r="X106" s="327">
        <f t="shared" si="13"/>
        <v>25</v>
      </c>
      <c r="Y106" s="313">
        <f t="shared" si="10"/>
        <v>18</v>
      </c>
      <c r="Z106" s="313">
        <f t="shared" si="11"/>
        <v>18</v>
      </c>
    </row>
    <row r="107" spans="1:26">
      <c r="A107" s="327" t="s">
        <v>362</v>
      </c>
      <c r="B107" s="327"/>
      <c r="C107" s="327"/>
      <c r="D107" s="327" t="s">
        <v>256</v>
      </c>
      <c r="E107" s="327">
        <v>0.57000000000000028</v>
      </c>
      <c r="F107" s="327">
        <v>0.41999999999999993</v>
      </c>
      <c r="G107" s="328">
        <v>0.49500000000000011</v>
      </c>
      <c r="H107" s="327">
        <v>4.5599999999999996</v>
      </c>
      <c r="I107" s="327">
        <v>8.0500000000000007</v>
      </c>
      <c r="J107" s="327">
        <v>1.4100000000000001</v>
      </c>
      <c r="K107" s="327">
        <v>2.8499999999999996</v>
      </c>
      <c r="L107" s="328">
        <v>4.9085000000000001</v>
      </c>
      <c r="M107" s="327">
        <v>5.0599999999999996</v>
      </c>
      <c r="N107" s="327">
        <v>7.71</v>
      </c>
      <c r="O107" s="327">
        <v>5.47</v>
      </c>
      <c r="P107" s="328">
        <v>6.0799999999999992</v>
      </c>
      <c r="Q107" s="324">
        <v>3.827833333333333</v>
      </c>
      <c r="R107" s="313">
        <v>0.33333333333333331</v>
      </c>
      <c r="S107" s="313">
        <v>0.2</v>
      </c>
      <c r="T107" s="313">
        <v>0.2</v>
      </c>
      <c r="U107" s="313">
        <v>3.4783833333333329</v>
      </c>
      <c r="V107" s="325">
        <f t="shared" si="9"/>
        <v>2.9770512561053</v>
      </c>
      <c r="W107" s="327">
        <f t="shared" si="12"/>
        <v>42</v>
      </c>
      <c r="X107" s="327">
        <f t="shared" si="13"/>
        <v>28</v>
      </c>
      <c r="Y107" s="313">
        <f t="shared" si="10"/>
        <v>14</v>
      </c>
      <c r="Z107" s="313">
        <f t="shared" si="11"/>
        <v>14</v>
      </c>
    </row>
    <row r="108" spans="1:26">
      <c r="A108" s="313" t="s">
        <v>364</v>
      </c>
      <c r="D108" s="313" t="s">
        <v>256</v>
      </c>
      <c r="E108" s="313">
        <v>3.33</v>
      </c>
      <c r="F108" s="313">
        <v>1.1999999999999993</v>
      </c>
      <c r="G108" s="326">
        <v>2.2649999999999997</v>
      </c>
      <c r="H108" s="313">
        <v>2.7199999999999998</v>
      </c>
      <c r="I108" s="313">
        <v>5.16</v>
      </c>
      <c r="J108" s="313">
        <v>2.0700000000000003</v>
      </c>
      <c r="K108" s="313">
        <v>1.7300000000000004</v>
      </c>
      <c r="L108" s="326">
        <v>3.3619999999999997</v>
      </c>
      <c r="M108" s="313">
        <v>4.9800000000000004</v>
      </c>
      <c r="N108" s="313">
        <v>7.35</v>
      </c>
      <c r="O108" s="313">
        <v>4.92</v>
      </c>
      <c r="P108" s="326">
        <v>5.75</v>
      </c>
      <c r="Q108" s="324">
        <v>3.7923333333333331</v>
      </c>
      <c r="R108" s="313">
        <v>0.33333333333333331</v>
      </c>
      <c r="S108" s="313">
        <v>6.2</v>
      </c>
      <c r="T108" s="313">
        <v>1.4</v>
      </c>
      <c r="U108" s="313">
        <v>3.4464333333333332</v>
      </c>
      <c r="V108" s="325">
        <f t="shared" si="9"/>
        <v>3.611792977173812</v>
      </c>
      <c r="W108" s="313">
        <f t="shared" si="12"/>
        <v>41</v>
      </c>
      <c r="X108" s="313">
        <f t="shared" si="13"/>
        <v>44</v>
      </c>
      <c r="Y108" s="313">
        <f t="shared" si="10"/>
        <v>-3</v>
      </c>
      <c r="Z108" s="313">
        <f t="shared" si="11"/>
        <v>3</v>
      </c>
    </row>
    <row r="109" spans="1:26">
      <c r="A109" s="313" t="s">
        <v>357</v>
      </c>
      <c r="C109" s="313" t="s">
        <v>265</v>
      </c>
      <c r="D109" s="313" t="s">
        <v>268</v>
      </c>
      <c r="E109" s="313">
        <v>7.02</v>
      </c>
      <c r="F109" s="313">
        <v>2.76</v>
      </c>
      <c r="G109" s="326">
        <v>4.8899999999999997</v>
      </c>
      <c r="H109" s="313">
        <v>2.4900000000000002</v>
      </c>
      <c r="I109" s="313">
        <v>2.33</v>
      </c>
      <c r="J109" s="313">
        <v>1.42</v>
      </c>
      <c r="K109" s="313">
        <v>2.5099999999999998</v>
      </c>
      <c r="L109" s="326">
        <v>2.1675</v>
      </c>
      <c r="M109" s="313">
        <v>4.2300000000000004</v>
      </c>
      <c r="N109" s="313">
        <v>5.21</v>
      </c>
      <c r="O109" s="313">
        <v>2.8600000000000003</v>
      </c>
      <c r="P109" s="326">
        <v>4.1000000000000005</v>
      </c>
      <c r="Q109" s="324">
        <v>3.7191666666666663</v>
      </c>
      <c r="R109" s="313">
        <v>3.7666666666666666</v>
      </c>
      <c r="S109" s="313">
        <v>4.5999999999999996</v>
      </c>
      <c r="T109" s="313">
        <v>6.4</v>
      </c>
      <c r="U109" s="313">
        <v>3.7239166666666668</v>
      </c>
      <c r="V109" s="325">
        <f t="shared" si="9"/>
        <v>3.5863051418857816</v>
      </c>
      <c r="W109" s="313">
        <f t="shared" si="12"/>
        <v>40</v>
      </c>
      <c r="X109" s="313">
        <f t="shared" si="13"/>
        <v>42</v>
      </c>
      <c r="Y109" s="313">
        <f t="shared" si="10"/>
        <v>-2</v>
      </c>
      <c r="Z109" s="313">
        <f t="shared" si="11"/>
        <v>2</v>
      </c>
    </row>
    <row r="110" spans="1:26">
      <c r="A110" s="313" t="s">
        <v>370</v>
      </c>
      <c r="D110" s="313" t="s">
        <v>256</v>
      </c>
      <c r="E110" s="313">
        <v>0.4399999999999995</v>
      </c>
      <c r="F110" s="313">
        <v>1.1899999999999995</v>
      </c>
      <c r="G110" s="326">
        <v>0.8149999999999995</v>
      </c>
      <c r="H110" s="313">
        <v>3.3899999999999997</v>
      </c>
      <c r="I110" s="313">
        <v>5.31</v>
      </c>
      <c r="J110" s="313">
        <v>1.6400000000000006</v>
      </c>
      <c r="K110" s="313">
        <v>5.95</v>
      </c>
      <c r="L110" s="326">
        <v>3.7524999999999999</v>
      </c>
      <c r="M110" s="313">
        <v>4.99</v>
      </c>
      <c r="N110" s="313">
        <v>8.0299999999999994</v>
      </c>
      <c r="O110" s="313">
        <v>6.2</v>
      </c>
      <c r="P110" s="326">
        <v>6.4066666666666663</v>
      </c>
      <c r="Q110" s="324">
        <v>3.6580555555555549</v>
      </c>
      <c r="R110" s="313">
        <v>0</v>
      </c>
      <c r="S110" s="313">
        <v>0.2</v>
      </c>
      <c r="T110" s="313">
        <v>0.1</v>
      </c>
      <c r="U110" s="313">
        <v>3.2922499999999997</v>
      </c>
      <c r="V110" s="325">
        <f t="shared" si="9"/>
        <v>3.0388069232310753</v>
      </c>
      <c r="W110" s="313">
        <f t="shared" si="12"/>
        <v>39</v>
      </c>
      <c r="X110" s="313">
        <f t="shared" si="13"/>
        <v>30</v>
      </c>
      <c r="Y110" s="313">
        <f t="shared" si="10"/>
        <v>9</v>
      </c>
      <c r="Z110" s="313">
        <f t="shared" si="11"/>
        <v>9</v>
      </c>
    </row>
    <row r="111" spans="1:26">
      <c r="A111" s="313" t="s">
        <v>363</v>
      </c>
      <c r="D111" s="313" t="s">
        <v>256</v>
      </c>
      <c r="E111" s="313">
        <v>4.12</v>
      </c>
      <c r="F111" s="313">
        <v>2.8600000000000003</v>
      </c>
      <c r="G111" s="326">
        <v>3.49</v>
      </c>
      <c r="H111" s="313">
        <v>2.5499999999999998</v>
      </c>
      <c r="I111" s="313">
        <v>3.2699999999999996</v>
      </c>
      <c r="J111" s="313">
        <v>4.53</v>
      </c>
      <c r="K111" s="313">
        <v>1.8100000000000005</v>
      </c>
      <c r="L111" s="326">
        <v>3.2600000000000002</v>
      </c>
      <c r="M111" s="313">
        <v>4.1399999999999997</v>
      </c>
      <c r="N111" s="313">
        <v>4.3</v>
      </c>
      <c r="O111" s="313">
        <v>3.8600000000000003</v>
      </c>
      <c r="P111" s="326">
        <v>4.1000000000000005</v>
      </c>
      <c r="Q111" s="324">
        <v>3.6166666666666671</v>
      </c>
      <c r="R111" s="313">
        <v>2</v>
      </c>
      <c r="S111" s="313">
        <v>0.2</v>
      </c>
      <c r="T111" s="313">
        <v>2.6</v>
      </c>
      <c r="U111" s="313">
        <v>3.4550000000000001</v>
      </c>
      <c r="V111" s="325">
        <f t="shared" si="9"/>
        <v>3.6053508799222218</v>
      </c>
      <c r="W111" s="313">
        <f t="shared" si="12"/>
        <v>38</v>
      </c>
      <c r="X111" s="313">
        <f t="shared" si="13"/>
        <v>43</v>
      </c>
      <c r="Y111" s="313">
        <f t="shared" si="10"/>
        <v>-5</v>
      </c>
      <c r="Z111" s="313">
        <f t="shared" si="11"/>
        <v>5</v>
      </c>
    </row>
    <row r="112" spans="1:26">
      <c r="A112" s="313" t="s">
        <v>365</v>
      </c>
      <c r="D112" s="313" t="s">
        <v>249</v>
      </c>
      <c r="E112" s="313">
        <v>0.85999999999999943</v>
      </c>
      <c r="F112" s="313">
        <v>0.17999999999999972</v>
      </c>
      <c r="G112" s="326">
        <v>0.51999999999999957</v>
      </c>
      <c r="H112" s="313">
        <v>5.83</v>
      </c>
      <c r="I112" s="313">
        <v>4.09</v>
      </c>
      <c r="J112" s="313">
        <v>1.9399999999999995</v>
      </c>
      <c r="K112" s="313">
        <v>6.52</v>
      </c>
      <c r="L112" s="326">
        <v>4.2829999999999995</v>
      </c>
      <c r="M112" s="313">
        <v>5.13</v>
      </c>
      <c r="N112" s="313">
        <v>8.4499999999999993</v>
      </c>
      <c r="O112" s="313">
        <v>4.32</v>
      </c>
      <c r="P112" s="326">
        <v>5.9666666666666659</v>
      </c>
      <c r="Q112" s="324">
        <v>3.5898888888888885</v>
      </c>
      <c r="R112" s="313">
        <v>1.3333333333333333</v>
      </c>
      <c r="S112" s="313">
        <v>1</v>
      </c>
      <c r="T112" s="313">
        <v>1.3</v>
      </c>
      <c r="U112" s="313">
        <v>3.3642333333333325</v>
      </c>
      <c r="V112" s="325">
        <f t="shared" si="9"/>
        <v>2.8269100029374781</v>
      </c>
      <c r="W112" s="313">
        <f t="shared" si="12"/>
        <v>37</v>
      </c>
      <c r="X112" s="313">
        <f t="shared" si="13"/>
        <v>20</v>
      </c>
      <c r="Y112" s="313">
        <f t="shared" si="10"/>
        <v>17</v>
      </c>
      <c r="Z112" s="313">
        <f t="shared" si="11"/>
        <v>17</v>
      </c>
    </row>
    <row r="113" spans="1:26">
      <c r="A113" s="313" t="s">
        <v>360</v>
      </c>
      <c r="C113" s="313" t="s">
        <v>263</v>
      </c>
      <c r="D113" s="313" t="s">
        <v>268</v>
      </c>
      <c r="E113" s="313">
        <v>4.28</v>
      </c>
      <c r="F113" s="313">
        <v>1.7100000000000009</v>
      </c>
      <c r="G113" s="326">
        <v>2.9950000000000006</v>
      </c>
      <c r="H113" s="313">
        <v>2.9400000000000004</v>
      </c>
      <c r="I113" s="313">
        <v>3.8</v>
      </c>
      <c r="J113" s="313">
        <v>2.92</v>
      </c>
      <c r="K113" s="313">
        <v>3.6799999999999997</v>
      </c>
      <c r="L113" s="326">
        <v>3.2730000000000001</v>
      </c>
      <c r="M113" s="313">
        <v>3.96</v>
      </c>
      <c r="N113" s="313">
        <v>6.12</v>
      </c>
      <c r="O113" s="313">
        <v>3.17</v>
      </c>
      <c r="P113" s="326">
        <v>4.416666666666667</v>
      </c>
      <c r="Q113" s="324">
        <v>3.561555555555556</v>
      </c>
      <c r="R113" s="313">
        <v>3</v>
      </c>
      <c r="S113" s="313">
        <v>1.8</v>
      </c>
      <c r="T113" s="313">
        <v>5.8</v>
      </c>
      <c r="U113" s="313">
        <v>3.5053999999999998</v>
      </c>
      <c r="V113" s="325">
        <f t="shared" si="9"/>
        <v>3.527752695576722</v>
      </c>
      <c r="W113" s="313">
        <f t="shared" si="12"/>
        <v>36</v>
      </c>
      <c r="X113" s="313">
        <f t="shared" si="13"/>
        <v>41</v>
      </c>
      <c r="Y113" s="313">
        <f t="shared" si="10"/>
        <v>-5</v>
      </c>
      <c r="Z113" s="313">
        <f t="shared" si="11"/>
        <v>5</v>
      </c>
    </row>
    <row r="114" spans="1:26">
      <c r="A114" s="313" t="s">
        <v>368</v>
      </c>
      <c r="D114" s="313" t="s">
        <v>268</v>
      </c>
      <c r="E114" s="313">
        <v>2.5199999999999996</v>
      </c>
      <c r="F114" s="313">
        <v>1.6500000000000004</v>
      </c>
      <c r="G114" s="326">
        <v>2.085</v>
      </c>
      <c r="H114" s="313">
        <v>2.8099999999999996</v>
      </c>
      <c r="I114" s="313">
        <v>4.2</v>
      </c>
      <c r="J114" s="313">
        <v>2.5</v>
      </c>
      <c r="K114" s="313">
        <v>2.0700000000000003</v>
      </c>
      <c r="L114" s="326">
        <v>3.1819999999999999</v>
      </c>
      <c r="M114" s="313">
        <v>5.39</v>
      </c>
      <c r="N114" s="313">
        <v>6.63</v>
      </c>
      <c r="O114" s="313">
        <v>4.12</v>
      </c>
      <c r="P114" s="326">
        <v>5.38</v>
      </c>
      <c r="Q114" s="324">
        <v>3.5489999999999995</v>
      </c>
      <c r="R114" s="313">
        <v>1</v>
      </c>
      <c r="S114" s="313">
        <v>6.2</v>
      </c>
      <c r="T114" s="313">
        <v>1.9</v>
      </c>
      <c r="U114" s="313">
        <v>3.2940999999999998</v>
      </c>
      <c r="V114" s="325">
        <f t="shared" si="9"/>
        <v>3.3763710696057254</v>
      </c>
      <c r="W114" s="313">
        <f t="shared" si="12"/>
        <v>35</v>
      </c>
      <c r="X114" s="313">
        <f t="shared" si="13"/>
        <v>38</v>
      </c>
      <c r="Y114" s="313">
        <f t="shared" si="10"/>
        <v>-3</v>
      </c>
      <c r="Z114" s="313">
        <f t="shared" si="11"/>
        <v>3</v>
      </c>
    </row>
    <row r="115" spans="1:26">
      <c r="A115" s="313" t="s">
        <v>367</v>
      </c>
      <c r="D115" s="313" t="s">
        <v>268</v>
      </c>
      <c r="E115" s="313">
        <v>3.6799999999999997</v>
      </c>
      <c r="F115" s="313">
        <v>2.76</v>
      </c>
      <c r="G115" s="326">
        <v>3.2199999999999998</v>
      </c>
      <c r="H115" s="313">
        <v>4.42</v>
      </c>
      <c r="I115" s="313">
        <v>3.2199999999999998</v>
      </c>
      <c r="J115" s="313">
        <v>1.5600000000000005</v>
      </c>
      <c r="K115" s="313">
        <v>2.8</v>
      </c>
      <c r="L115" s="326">
        <v>3.2039999999999997</v>
      </c>
      <c r="M115" s="313">
        <v>4.0599999999999996</v>
      </c>
      <c r="N115" s="313">
        <v>4.24</v>
      </c>
      <c r="O115" s="313">
        <v>4.28</v>
      </c>
      <c r="P115" s="326">
        <v>4.1933333333333342</v>
      </c>
      <c r="Q115" s="324">
        <v>3.5391111111111115</v>
      </c>
      <c r="R115" s="313">
        <v>1.3333333333333333</v>
      </c>
      <c r="S115" s="313">
        <v>1</v>
      </c>
      <c r="T115" s="313">
        <v>1.3</v>
      </c>
      <c r="U115" s="313">
        <v>3.3185333333333333</v>
      </c>
      <c r="V115" s="325">
        <f t="shared" si="9"/>
        <v>3.5198476861710049</v>
      </c>
      <c r="W115" s="313">
        <f t="shared" si="12"/>
        <v>34</v>
      </c>
      <c r="X115" s="313">
        <f t="shared" si="13"/>
        <v>40</v>
      </c>
      <c r="Y115" s="313">
        <f t="shared" si="10"/>
        <v>-6</v>
      </c>
      <c r="Z115" s="313">
        <f t="shared" si="11"/>
        <v>6</v>
      </c>
    </row>
    <row r="116" spans="1:26">
      <c r="A116" s="313" t="s">
        <v>369</v>
      </c>
      <c r="D116" s="313" t="s">
        <v>256</v>
      </c>
      <c r="E116" s="313">
        <v>2.09</v>
      </c>
      <c r="F116" s="313">
        <v>0.46000000000000085</v>
      </c>
      <c r="G116" s="326">
        <v>1.2750000000000004</v>
      </c>
      <c r="H116" s="313">
        <v>3.63</v>
      </c>
      <c r="I116" s="313">
        <v>4.04</v>
      </c>
      <c r="J116" s="313">
        <v>2.0199999999999996</v>
      </c>
      <c r="K116" s="313">
        <v>2.4000000000000004</v>
      </c>
      <c r="L116" s="326">
        <v>3.3094999999999999</v>
      </c>
      <c r="M116" s="313">
        <v>4.53</v>
      </c>
      <c r="N116" s="313">
        <v>7.54</v>
      </c>
      <c r="O116" s="313">
        <v>5.78</v>
      </c>
      <c r="P116" s="326">
        <v>5.95</v>
      </c>
      <c r="Q116" s="324">
        <v>3.5115000000000003</v>
      </c>
      <c r="R116" s="313">
        <v>1.3333333333333333</v>
      </c>
      <c r="S116" s="313">
        <v>6.2</v>
      </c>
      <c r="T116" s="313">
        <v>2.4</v>
      </c>
      <c r="U116" s="313">
        <v>3.2936833333333335</v>
      </c>
      <c r="V116" s="325">
        <f t="shared" si="9"/>
        <v>3.1263181934583582</v>
      </c>
      <c r="W116" s="313">
        <f t="shared" si="12"/>
        <v>33</v>
      </c>
      <c r="X116" s="313">
        <f t="shared" si="13"/>
        <v>35</v>
      </c>
      <c r="Y116" s="313">
        <f t="shared" si="10"/>
        <v>-2</v>
      </c>
      <c r="Z116" s="313">
        <f t="shared" si="11"/>
        <v>2</v>
      </c>
    </row>
    <row r="117" spans="1:26">
      <c r="A117" s="313" t="s">
        <v>373</v>
      </c>
      <c r="D117" s="313" t="s">
        <v>256</v>
      </c>
      <c r="E117" s="313">
        <v>0.33999999999999986</v>
      </c>
      <c r="F117" s="313">
        <v>0.15000000000000036</v>
      </c>
      <c r="G117" s="326">
        <v>0.24500000000000011</v>
      </c>
      <c r="H117" s="313">
        <v>5.13</v>
      </c>
      <c r="I117" s="313">
        <v>3.95</v>
      </c>
      <c r="J117" s="313">
        <v>1.4100000000000001</v>
      </c>
      <c r="K117" s="313">
        <v>6.45</v>
      </c>
      <c r="L117" s="326">
        <v>3.8529999999999998</v>
      </c>
      <c r="M117" s="313">
        <v>5.34</v>
      </c>
      <c r="N117" s="313">
        <v>6.51</v>
      </c>
      <c r="O117" s="313">
        <v>7.27</v>
      </c>
      <c r="P117" s="326">
        <v>6.3733333333333322</v>
      </c>
      <c r="Q117" s="324">
        <v>3.490444444444444</v>
      </c>
      <c r="R117" s="313">
        <v>0.66666666666666663</v>
      </c>
      <c r="S117" s="313">
        <v>1.8</v>
      </c>
      <c r="T117" s="313">
        <v>0.7</v>
      </c>
      <c r="U117" s="313">
        <v>3.2080666666666664</v>
      </c>
      <c r="V117" s="325">
        <f t="shared" si="9"/>
        <v>2.4558178332724601</v>
      </c>
      <c r="W117" s="313">
        <f t="shared" si="12"/>
        <v>32</v>
      </c>
      <c r="X117" s="313">
        <f t="shared" si="13"/>
        <v>14</v>
      </c>
      <c r="Y117" s="313">
        <f t="shared" si="10"/>
        <v>18</v>
      </c>
      <c r="Z117" s="313">
        <f t="shared" si="11"/>
        <v>18</v>
      </c>
    </row>
    <row r="118" spans="1:26">
      <c r="A118" s="313" t="s">
        <v>366</v>
      </c>
      <c r="D118" s="313" t="s">
        <v>268</v>
      </c>
      <c r="E118" s="313">
        <v>6.54</v>
      </c>
      <c r="F118" s="313">
        <v>0.47000000000000064</v>
      </c>
      <c r="G118" s="326">
        <v>3.5050000000000003</v>
      </c>
      <c r="H118" s="313">
        <v>2.17</v>
      </c>
      <c r="I118" s="313">
        <v>3.0199999999999996</v>
      </c>
      <c r="J118" s="313">
        <v>3.66</v>
      </c>
      <c r="K118" s="313">
        <v>2.3899999999999997</v>
      </c>
      <c r="L118" s="326">
        <v>2.8509999999999995</v>
      </c>
      <c r="M118" s="313">
        <v>3.16</v>
      </c>
      <c r="N118" s="313">
        <v>6.13</v>
      </c>
      <c r="O118" s="313">
        <v>3.0300000000000002</v>
      </c>
      <c r="P118" s="326">
        <v>4.1066666666666665</v>
      </c>
      <c r="Q118" s="324">
        <v>3.4875555555555557</v>
      </c>
      <c r="R118" s="313">
        <v>2</v>
      </c>
      <c r="S118" s="313">
        <v>3.1</v>
      </c>
      <c r="T118" s="313">
        <v>3.2</v>
      </c>
      <c r="U118" s="313">
        <v>3.3388</v>
      </c>
      <c r="V118" s="325">
        <f t="shared" si="9"/>
        <v>3.4620720216742531</v>
      </c>
      <c r="W118" s="313">
        <f t="shared" si="12"/>
        <v>31</v>
      </c>
      <c r="X118" s="313">
        <f t="shared" si="13"/>
        <v>39</v>
      </c>
      <c r="Y118" s="313">
        <f t="shared" si="10"/>
        <v>-8</v>
      </c>
      <c r="Z118" s="313">
        <f t="shared" si="11"/>
        <v>8</v>
      </c>
    </row>
    <row r="119" spans="1:26">
      <c r="A119" s="313" t="s">
        <v>371</v>
      </c>
      <c r="D119" s="313" t="s">
        <v>251</v>
      </c>
      <c r="E119" s="313">
        <v>0.59999999999999964</v>
      </c>
      <c r="F119" s="313">
        <v>5</v>
      </c>
      <c r="G119" s="326">
        <v>2.8</v>
      </c>
      <c r="H119" s="313">
        <v>2.6500000000000004</v>
      </c>
      <c r="I119" s="313">
        <v>3.63</v>
      </c>
      <c r="J119" s="313">
        <v>1.33</v>
      </c>
      <c r="K119" s="313">
        <v>3.6900000000000004</v>
      </c>
      <c r="L119" s="326">
        <v>2.7149999999999999</v>
      </c>
      <c r="M119" s="313">
        <v>7.29</v>
      </c>
      <c r="N119" s="313">
        <v>3.6900000000000004</v>
      </c>
      <c r="O119" s="313">
        <v>3.12</v>
      </c>
      <c r="P119" s="326">
        <v>4.7</v>
      </c>
      <c r="Q119" s="324">
        <v>3.4049999999999998</v>
      </c>
      <c r="R119" s="313">
        <v>2</v>
      </c>
      <c r="S119" s="313">
        <v>0.2</v>
      </c>
      <c r="T119" s="313">
        <v>2.6</v>
      </c>
      <c r="U119" s="313">
        <v>3.2645</v>
      </c>
      <c r="V119" s="325">
        <f t="shared" si="9"/>
        <v>3.3292608985107224</v>
      </c>
      <c r="W119" s="313">
        <f t="shared" si="12"/>
        <v>30</v>
      </c>
      <c r="X119" s="313">
        <f t="shared" si="13"/>
        <v>37</v>
      </c>
      <c r="Y119" s="313">
        <f t="shared" si="10"/>
        <v>-7</v>
      </c>
      <c r="Z119" s="313">
        <f t="shared" si="11"/>
        <v>7</v>
      </c>
    </row>
    <row r="120" spans="1:26">
      <c r="A120" s="313" t="s">
        <v>372</v>
      </c>
      <c r="D120" s="313" t="s">
        <v>249</v>
      </c>
      <c r="E120" s="313">
        <v>2.21</v>
      </c>
      <c r="F120" s="313">
        <v>0.41999999999999993</v>
      </c>
      <c r="G120" s="326">
        <v>1.3149999999999999</v>
      </c>
      <c r="H120" s="313">
        <v>3.45</v>
      </c>
      <c r="I120" s="313">
        <v>4.96</v>
      </c>
      <c r="J120" s="313">
        <v>1.67</v>
      </c>
      <c r="K120" s="313">
        <v>5.75</v>
      </c>
      <c r="L120" s="326">
        <v>3.6485000000000003</v>
      </c>
      <c r="M120" s="313">
        <v>4.71</v>
      </c>
      <c r="N120" s="313">
        <v>7.45</v>
      </c>
      <c r="O120" s="313">
        <v>3.51</v>
      </c>
      <c r="P120" s="326">
        <v>5.2233333333333336</v>
      </c>
      <c r="Q120" s="324">
        <v>3.3956111111111107</v>
      </c>
      <c r="R120" s="313">
        <v>1.6666666666666667</v>
      </c>
      <c r="S120" s="313">
        <v>0.2</v>
      </c>
      <c r="T120" s="313">
        <v>1.8</v>
      </c>
      <c r="U120" s="313">
        <v>3.2227166666666665</v>
      </c>
      <c r="V120" s="325">
        <f t="shared" si="9"/>
        <v>3.0911040450216127</v>
      </c>
      <c r="W120" s="313">
        <f t="shared" si="12"/>
        <v>29</v>
      </c>
      <c r="X120" s="313">
        <f t="shared" si="13"/>
        <v>34</v>
      </c>
      <c r="Y120" s="313">
        <f t="shared" si="10"/>
        <v>-5</v>
      </c>
      <c r="Z120" s="313">
        <f t="shared" si="11"/>
        <v>5</v>
      </c>
    </row>
    <row r="121" spans="1:26">
      <c r="A121" s="313" t="s">
        <v>375</v>
      </c>
      <c r="D121" s="313" t="s">
        <v>268</v>
      </c>
      <c r="E121" s="313">
        <v>1.2599999999999998</v>
      </c>
      <c r="F121" s="313">
        <v>1.3000000000000007</v>
      </c>
      <c r="G121" s="326">
        <v>1.2800000000000002</v>
      </c>
      <c r="H121" s="313">
        <v>3.2</v>
      </c>
      <c r="I121" s="313">
        <v>4.9000000000000004</v>
      </c>
      <c r="J121" s="313">
        <v>1.4399999999999995</v>
      </c>
      <c r="K121" s="313">
        <v>2.88</v>
      </c>
      <c r="L121" s="326">
        <v>3.339</v>
      </c>
      <c r="M121" s="313">
        <v>6.24</v>
      </c>
      <c r="N121" s="313">
        <v>6.49</v>
      </c>
      <c r="O121" s="313">
        <v>3.76</v>
      </c>
      <c r="P121" s="326">
        <v>5.496666666666667</v>
      </c>
      <c r="Q121" s="324">
        <v>3.3718888888888885</v>
      </c>
      <c r="R121" s="313">
        <v>0.33333333333333331</v>
      </c>
      <c r="S121" s="313">
        <v>1.8</v>
      </c>
      <c r="T121" s="313">
        <v>0.6</v>
      </c>
      <c r="U121" s="313">
        <v>3.0680333333333332</v>
      </c>
      <c r="V121" s="325">
        <f t="shared" si="9"/>
        <v>3.0386115407531444</v>
      </c>
      <c r="W121" s="313">
        <f t="shared" si="12"/>
        <v>28</v>
      </c>
      <c r="X121" s="313">
        <f t="shared" si="13"/>
        <v>29</v>
      </c>
      <c r="Y121" s="313">
        <f t="shared" si="10"/>
        <v>-1</v>
      </c>
      <c r="Z121" s="313">
        <f t="shared" si="11"/>
        <v>1</v>
      </c>
    </row>
    <row r="122" spans="1:26">
      <c r="A122" s="313" t="s">
        <v>374</v>
      </c>
      <c r="D122" s="313" t="s">
        <v>256</v>
      </c>
      <c r="E122" s="313">
        <v>0.72000000000000064</v>
      </c>
      <c r="F122" s="313">
        <v>1.1500000000000004</v>
      </c>
      <c r="G122" s="326">
        <v>0.9350000000000005</v>
      </c>
      <c r="H122" s="313">
        <v>2.5</v>
      </c>
      <c r="I122" s="313">
        <v>4.51</v>
      </c>
      <c r="J122" s="313">
        <v>1.0600000000000005</v>
      </c>
      <c r="K122" s="313">
        <v>2.91</v>
      </c>
      <c r="L122" s="326">
        <v>2.8640000000000003</v>
      </c>
      <c r="M122" s="313">
        <v>5.27</v>
      </c>
      <c r="N122" s="313">
        <v>8.01</v>
      </c>
      <c r="O122" s="313">
        <v>4.7300000000000004</v>
      </c>
      <c r="P122" s="326">
        <v>6.003333333333333</v>
      </c>
      <c r="Q122" s="324">
        <v>3.2674444444444446</v>
      </c>
      <c r="R122" s="313">
        <v>1.3333333333333333</v>
      </c>
      <c r="S122" s="313">
        <v>0.2</v>
      </c>
      <c r="T122" s="313">
        <v>1.2</v>
      </c>
      <c r="U122" s="313">
        <v>3.074033333333333</v>
      </c>
      <c r="V122" s="325">
        <f t="shared" si="9"/>
        <v>2.7743360580332581</v>
      </c>
      <c r="W122" s="313">
        <f t="shared" si="12"/>
        <v>27</v>
      </c>
      <c r="X122" s="313">
        <f t="shared" si="13"/>
        <v>19</v>
      </c>
      <c r="Y122" s="313">
        <f t="shared" si="10"/>
        <v>8</v>
      </c>
      <c r="Z122" s="313">
        <f t="shared" si="11"/>
        <v>8</v>
      </c>
    </row>
    <row r="123" spans="1:26">
      <c r="A123" s="329" t="s">
        <v>377</v>
      </c>
      <c r="B123" s="329"/>
      <c r="C123" s="329"/>
      <c r="D123" s="329" t="s">
        <v>251</v>
      </c>
      <c r="E123" s="329">
        <v>1.5</v>
      </c>
      <c r="F123" s="329">
        <v>3.3200000000000003</v>
      </c>
      <c r="G123" s="330">
        <v>2.41</v>
      </c>
      <c r="H123" s="329">
        <v>1.92</v>
      </c>
      <c r="I123" s="329">
        <v>4.83</v>
      </c>
      <c r="J123" s="329">
        <v>1.25</v>
      </c>
      <c r="K123" s="329">
        <v>4.6900000000000004</v>
      </c>
      <c r="L123" s="330">
        <v>2.9095</v>
      </c>
      <c r="M123" s="329">
        <v>6.49</v>
      </c>
      <c r="N123" s="329">
        <v>4.0199999999999996</v>
      </c>
      <c r="O123" s="329">
        <v>2.74</v>
      </c>
      <c r="P123" s="330">
        <v>4.416666666666667</v>
      </c>
      <c r="Q123" s="324">
        <v>3.2453888888888884</v>
      </c>
      <c r="R123" s="313">
        <v>0</v>
      </c>
      <c r="S123" s="313">
        <v>0.2</v>
      </c>
      <c r="T123" s="313">
        <v>0.1</v>
      </c>
      <c r="U123" s="313">
        <v>2.9208499999999997</v>
      </c>
      <c r="V123" s="325">
        <f t="shared" si="9"/>
        <v>3.1744282741416168</v>
      </c>
      <c r="W123" s="329">
        <f t="shared" si="12"/>
        <v>26</v>
      </c>
      <c r="X123" s="329">
        <f t="shared" si="13"/>
        <v>36</v>
      </c>
      <c r="Y123" s="313">
        <f t="shared" si="10"/>
        <v>-10</v>
      </c>
      <c r="Z123" s="313">
        <f t="shared" si="11"/>
        <v>10</v>
      </c>
    </row>
    <row r="124" spans="1:26">
      <c r="A124" s="329" t="s">
        <v>379</v>
      </c>
      <c r="B124" s="329"/>
      <c r="C124" s="329"/>
      <c r="D124" s="329" t="s">
        <v>268</v>
      </c>
      <c r="E124" s="329">
        <v>2.4699999999999998</v>
      </c>
      <c r="F124" s="329">
        <v>0.41000000000000014</v>
      </c>
      <c r="G124" s="330">
        <v>1.44</v>
      </c>
      <c r="H124" s="329">
        <v>2.1500000000000004</v>
      </c>
      <c r="I124" s="329">
        <v>5.65</v>
      </c>
      <c r="J124" s="329">
        <v>1.4700000000000006</v>
      </c>
      <c r="K124" s="329">
        <v>2.0199999999999996</v>
      </c>
      <c r="L124" s="330">
        <v>3.1985000000000001</v>
      </c>
      <c r="M124" s="329">
        <v>4.16</v>
      </c>
      <c r="N124" s="329">
        <v>6.59</v>
      </c>
      <c r="O124" s="329">
        <v>3.4299999999999997</v>
      </c>
      <c r="P124" s="330">
        <v>4.7266666666666666</v>
      </c>
      <c r="Q124" s="324">
        <v>3.1217222222222225</v>
      </c>
      <c r="R124" s="313">
        <v>0</v>
      </c>
      <c r="S124" s="313">
        <v>1</v>
      </c>
      <c r="T124" s="313">
        <v>0.3</v>
      </c>
      <c r="U124" s="313">
        <v>2.8095499999999998</v>
      </c>
      <c r="V124" s="325">
        <f t="shared" si="9"/>
        <v>2.905548741466863</v>
      </c>
      <c r="W124" s="329">
        <f t="shared" si="12"/>
        <v>25</v>
      </c>
      <c r="X124" s="329">
        <f t="shared" si="13"/>
        <v>23</v>
      </c>
      <c r="Y124" s="313">
        <f t="shared" si="10"/>
        <v>2</v>
      </c>
      <c r="Z124" s="313">
        <f t="shared" si="11"/>
        <v>2</v>
      </c>
    </row>
    <row r="125" spans="1:26">
      <c r="A125" s="329" t="s">
        <v>380</v>
      </c>
      <c r="B125" s="329"/>
      <c r="C125" s="329"/>
      <c r="D125" s="329" t="s">
        <v>268</v>
      </c>
      <c r="E125" s="329">
        <v>3.4800000000000004</v>
      </c>
      <c r="F125" s="329">
        <v>1.1999999999999993</v>
      </c>
      <c r="G125" s="330">
        <v>2.34</v>
      </c>
      <c r="H125" s="329">
        <v>1.9700000000000006</v>
      </c>
      <c r="I125" s="329">
        <v>5.65</v>
      </c>
      <c r="J125" s="329">
        <v>1.2799999999999994</v>
      </c>
      <c r="K125" s="329">
        <v>2.4000000000000004</v>
      </c>
      <c r="L125" s="330">
        <v>3.1070000000000002</v>
      </c>
      <c r="M125" s="329">
        <v>4.37</v>
      </c>
      <c r="N125" s="329">
        <v>6.1400000000000006</v>
      </c>
      <c r="O125" s="329">
        <v>1.2300000000000004</v>
      </c>
      <c r="P125" s="330">
        <v>3.913333333333334</v>
      </c>
      <c r="Q125" s="324">
        <v>3.1201111111111111</v>
      </c>
      <c r="R125" s="313">
        <v>0</v>
      </c>
      <c r="S125" s="313">
        <v>0.4</v>
      </c>
      <c r="T125" s="313">
        <v>0.2</v>
      </c>
      <c r="U125" s="313">
        <v>2.8081000000000005</v>
      </c>
      <c r="V125" s="325">
        <f t="shared" si="9"/>
        <v>3.0753275455031908</v>
      </c>
      <c r="W125" s="329">
        <f t="shared" si="12"/>
        <v>24</v>
      </c>
      <c r="X125" s="329">
        <f t="shared" si="13"/>
        <v>32</v>
      </c>
      <c r="Y125" s="313">
        <f t="shared" si="10"/>
        <v>-8</v>
      </c>
      <c r="Z125" s="313">
        <f t="shared" si="11"/>
        <v>8</v>
      </c>
    </row>
    <row r="126" spans="1:26">
      <c r="A126" s="329" t="s">
        <v>383</v>
      </c>
      <c r="B126" s="329"/>
      <c r="C126" s="329"/>
      <c r="D126" s="329" t="s">
        <v>268</v>
      </c>
      <c r="E126" s="329">
        <v>4.2300000000000004</v>
      </c>
      <c r="F126" s="329">
        <v>0.15000000000000036</v>
      </c>
      <c r="G126" s="330">
        <v>2.1900000000000004</v>
      </c>
      <c r="H126" s="329">
        <v>1.9000000000000004</v>
      </c>
      <c r="I126" s="329">
        <v>3.96</v>
      </c>
      <c r="J126" s="329">
        <v>1.6400000000000006</v>
      </c>
      <c r="K126" s="329">
        <v>2.8200000000000003</v>
      </c>
      <c r="L126" s="330">
        <v>2.6020000000000003</v>
      </c>
      <c r="M126" s="329">
        <v>4.1900000000000004</v>
      </c>
      <c r="N126" s="329">
        <v>6.98</v>
      </c>
      <c r="O126" s="329">
        <v>2.04</v>
      </c>
      <c r="P126" s="330">
        <v>4.4033333333333333</v>
      </c>
      <c r="Q126" s="324">
        <v>3.0651111111111113</v>
      </c>
      <c r="R126" s="313">
        <v>0</v>
      </c>
      <c r="S126" s="313">
        <v>1</v>
      </c>
      <c r="T126" s="313">
        <v>0.3</v>
      </c>
      <c r="U126" s="313">
        <v>2.7586000000000004</v>
      </c>
      <c r="V126" s="325">
        <f t="shared" si="9"/>
        <v>2.971689604725563</v>
      </c>
      <c r="W126" s="329">
        <f t="shared" si="12"/>
        <v>23</v>
      </c>
      <c r="X126" s="329">
        <f t="shared" si="13"/>
        <v>27</v>
      </c>
      <c r="Y126" s="313">
        <f t="shared" si="10"/>
        <v>-4</v>
      </c>
      <c r="Z126" s="313">
        <f t="shared" si="11"/>
        <v>4</v>
      </c>
    </row>
    <row r="127" spans="1:26">
      <c r="A127" s="329" t="s">
        <v>376</v>
      </c>
      <c r="B127" s="329"/>
      <c r="C127" s="329"/>
      <c r="D127" s="329" t="s">
        <v>268</v>
      </c>
      <c r="E127" s="329">
        <v>4.0999999999999996</v>
      </c>
      <c r="F127" s="329">
        <v>1.9299999999999997</v>
      </c>
      <c r="G127" s="330">
        <v>3.0149999999999997</v>
      </c>
      <c r="H127" s="329">
        <v>3.41</v>
      </c>
      <c r="I127" s="329">
        <v>2.4500000000000002</v>
      </c>
      <c r="J127" s="329">
        <v>1.9000000000000004</v>
      </c>
      <c r="K127" s="329">
        <v>2.6799999999999997</v>
      </c>
      <c r="L127" s="330">
        <v>2.66</v>
      </c>
      <c r="M127" s="329">
        <v>3.0999999999999996</v>
      </c>
      <c r="N127" s="329">
        <v>4.53</v>
      </c>
      <c r="O127" s="329">
        <v>2.88</v>
      </c>
      <c r="P127" s="330">
        <v>3.5033333333333334</v>
      </c>
      <c r="Q127" s="324">
        <v>3.0594444444444444</v>
      </c>
      <c r="R127" s="313">
        <v>2</v>
      </c>
      <c r="S127" s="313">
        <v>0.4</v>
      </c>
      <c r="T127" s="313">
        <v>2.7</v>
      </c>
      <c r="U127" s="313">
        <v>2.9535</v>
      </c>
      <c r="V127" s="325">
        <f t="shared" si="9"/>
        <v>3.0465054101450382</v>
      </c>
      <c r="W127" s="329">
        <f t="shared" si="12"/>
        <v>22</v>
      </c>
      <c r="X127" s="329">
        <f t="shared" si="13"/>
        <v>31</v>
      </c>
      <c r="Y127" s="313">
        <f t="shared" si="10"/>
        <v>-9</v>
      </c>
      <c r="Z127" s="313">
        <f t="shared" si="11"/>
        <v>9</v>
      </c>
    </row>
    <row r="128" spans="1:26">
      <c r="A128" s="313" t="s">
        <v>382</v>
      </c>
      <c r="D128" s="313" t="s">
        <v>256</v>
      </c>
      <c r="E128" s="313">
        <v>0.88000000000000078</v>
      </c>
      <c r="F128" s="313">
        <v>0.11999999999999922</v>
      </c>
      <c r="G128" s="326">
        <v>0.5</v>
      </c>
      <c r="H128" s="313">
        <v>2.6100000000000003</v>
      </c>
      <c r="I128" s="313">
        <v>4.41</v>
      </c>
      <c r="J128" s="313">
        <v>0.97000000000000064</v>
      </c>
      <c r="K128" s="313">
        <v>4.47</v>
      </c>
      <c r="L128" s="326">
        <v>2.923</v>
      </c>
      <c r="M128" s="313">
        <v>4.6399999999999997</v>
      </c>
      <c r="N128" s="313">
        <v>7.75</v>
      </c>
      <c r="O128" s="313">
        <v>4.7</v>
      </c>
      <c r="P128" s="326">
        <v>5.6966666666666663</v>
      </c>
      <c r="Q128" s="324">
        <v>3.0398888888888891</v>
      </c>
      <c r="R128" s="313">
        <v>0.33333333333333331</v>
      </c>
      <c r="S128" s="313">
        <v>0.2</v>
      </c>
      <c r="T128" s="313">
        <v>0.2</v>
      </c>
      <c r="U128" s="313">
        <v>2.7692333333333332</v>
      </c>
      <c r="V128" s="325">
        <f t="shared" si="9"/>
        <v>2.3872484222316617</v>
      </c>
      <c r="W128" s="313">
        <f t="shared" si="12"/>
        <v>21</v>
      </c>
      <c r="X128" s="313">
        <f t="shared" si="13"/>
        <v>12</v>
      </c>
      <c r="Y128" s="313">
        <f t="shared" si="10"/>
        <v>9</v>
      </c>
      <c r="Z128" s="313">
        <f t="shared" si="11"/>
        <v>9</v>
      </c>
    </row>
    <row r="129" spans="1:26">
      <c r="A129" s="313" t="s">
        <v>385</v>
      </c>
      <c r="D129" s="313" t="s">
        <v>268</v>
      </c>
      <c r="E129" s="313">
        <v>2.66</v>
      </c>
      <c r="F129" s="313">
        <v>0.83000000000000007</v>
      </c>
      <c r="G129" s="326">
        <v>1.7450000000000001</v>
      </c>
      <c r="H129" s="313">
        <v>2.17</v>
      </c>
      <c r="I129" s="313">
        <v>5.04</v>
      </c>
      <c r="J129" s="313">
        <v>1.1999999999999993</v>
      </c>
      <c r="K129" s="313">
        <v>2.9699999999999998</v>
      </c>
      <c r="L129" s="326">
        <v>2.9719999999999995</v>
      </c>
      <c r="M129" s="313">
        <v>4.16</v>
      </c>
      <c r="N129" s="313">
        <v>6.59</v>
      </c>
      <c r="O129" s="313">
        <v>2.2800000000000002</v>
      </c>
      <c r="P129" s="326">
        <v>4.3433333333333337</v>
      </c>
      <c r="Q129" s="324">
        <v>3.020111111111111</v>
      </c>
      <c r="R129" s="313">
        <v>0</v>
      </c>
      <c r="S129" s="313">
        <v>0.4</v>
      </c>
      <c r="T129" s="313">
        <v>0.2</v>
      </c>
      <c r="U129" s="313">
        <v>2.7180999999999997</v>
      </c>
      <c r="V129" s="325">
        <f t="shared" si="9"/>
        <v>2.8900853155493058</v>
      </c>
      <c r="W129" s="313">
        <f t="shared" si="12"/>
        <v>20</v>
      </c>
      <c r="X129" s="313">
        <f t="shared" si="13"/>
        <v>22</v>
      </c>
      <c r="Y129" s="313">
        <f t="shared" si="10"/>
        <v>-2</v>
      </c>
      <c r="Z129" s="313">
        <f t="shared" si="11"/>
        <v>2</v>
      </c>
    </row>
    <row r="130" spans="1:26">
      <c r="A130" s="313" t="s">
        <v>386</v>
      </c>
      <c r="D130" s="313" t="s">
        <v>268</v>
      </c>
      <c r="E130" s="313">
        <v>2.4299999999999997</v>
      </c>
      <c r="F130" s="313">
        <v>0.94999999999999929</v>
      </c>
      <c r="G130" s="326">
        <v>1.6899999999999995</v>
      </c>
      <c r="H130" s="313">
        <v>2.62</v>
      </c>
      <c r="I130" s="313">
        <v>4.24</v>
      </c>
      <c r="J130" s="313">
        <v>1.3100000000000005</v>
      </c>
      <c r="K130" s="313">
        <v>3.59</v>
      </c>
      <c r="L130" s="326">
        <v>2.9079999999999999</v>
      </c>
      <c r="M130" s="313">
        <v>4.1500000000000004</v>
      </c>
      <c r="N130" s="313">
        <v>6.77</v>
      </c>
      <c r="O130" s="313">
        <v>2.1900000000000004</v>
      </c>
      <c r="P130" s="326">
        <v>4.37</v>
      </c>
      <c r="Q130" s="324">
        <v>2.9893333333333332</v>
      </c>
      <c r="R130" s="313">
        <v>0</v>
      </c>
      <c r="S130" s="313">
        <v>0.4</v>
      </c>
      <c r="T130" s="313">
        <v>0.2</v>
      </c>
      <c r="U130" s="313">
        <v>2.6903999999999995</v>
      </c>
      <c r="V130" s="325">
        <f t="shared" si="9"/>
        <v>2.8500034428258592</v>
      </c>
      <c r="W130" s="313">
        <f t="shared" ref="W130:W148" si="14">RANK(Q130, Risk, 1)</f>
        <v>19</v>
      </c>
      <c r="X130" s="313">
        <f t="shared" ref="X130:X148" si="15">RANK(V130, RiskAggregAlt, 1)</f>
        <v>21</v>
      </c>
      <c r="Y130" s="313">
        <f t="shared" si="10"/>
        <v>-2</v>
      </c>
      <c r="Z130" s="313">
        <f t="shared" si="11"/>
        <v>2</v>
      </c>
    </row>
    <row r="131" spans="1:26">
      <c r="A131" s="313" t="s">
        <v>384</v>
      </c>
      <c r="D131" s="313" t="s">
        <v>251</v>
      </c>
      <c r="E131" s="313">
        <v>3.26</v>
      </c>
      <c r="F131" s="313">
        <v>4.6500000000000004</v>
      </c>
      <c r="G131" s="326">
        <v>3.9550000000000001</v>
      </c>
      <c r="H131" s="313">
        <v>1.4900000000000002</v>
      </c>
      <c r="I131" s="313">
        <v>1.5500000000000007</v>
      </c>
      <c r="J131" s="313">
        <v>3.9299999999999997</v>
      </c>
      <c r="K131" s="313">
        <v>3.34</v>
      </c>
      <c r="L131" s="326">
        <v>2.2134999999999998</v>
      </c>
      <c r="M131" s="313">
        <v>4</v>
      </c>
      <c r="N131" s="313">
        <v>3.0599999999999996</v>
      </c>
      <c r="O131" s="313">
        <v>1.3000000000000007</v>
      </c>
      <c r="P131" s="326">
        <v>2.7866666666666666</v>
      </c>
      <c r="Q131" s="324">
        <v>2.9850555555555558</v>
      </c>
      <c r="R131" s="313">
        <v>0.66666666666666663</v>
      </c>
      <c r="S131" s="313">
        <v>0.2</v>
      </c>
      <c r="T131" s="313">
        <v>0.4</v>
      </c>
      <c r="U131" s="313">
        <v>2.7532166666666664</v>
      </c>
      <c r="V131" s="325">
        <f t="shared" ref="V131:V148" si="16" xml:space="preserve"> (G131^(1/3) +  L131^(1/3)  +P131^(1/3))^3 / 27</f>
        <v>2.9280758301362741</v>
      </c>
      <c r="W131" s="313">
        <f t="shared" si="14"/>
        <v>18</v>
      </c>
      <c r="X131" s="313">
        <f t="shared" si="15"/>
        <v>24</v>
      </c>
      <c r="Y131" s="313">
        <f t="shared" ref="Y131:Y148" si="17">W131-X131</f>
        <v>-6</v>
      </c>
      <c r="Z131" s="313">
        <f t="shared" ref="Z131:Z148" si="18">ABS(Y131)</f>
        <v>6</v>
      </c>
    </row>
    <row r="132" spans="1:26">
      <c r="A132" s="313" t="s">
        <v>378</v>
      </c>
      <c r="D132" s="313" t="s">
        <v>268</v>
      </c>
      <c r="E132" s="313">
        <v>2.87</v>
      </c>
      <c r="F132" s="313">
        <v>2.1100000000000003</v>
      </c>
      <c r="G132" s="326">
        <v>2.4900000000000002</v>
      </c>
      <c r="H132" s="313">
        <v>3.5999999999999996</v>
      </c>
      <c r="I132" s="313">
        <v>4.92</v>
      </c>
      <c r="J132" s="313">
        <v>1.0500000000000007</v>
      </c>
      <c r="K132" s="313">
        <v>2.8499999999999996</v>
      </c>
      <c r="L132" s="326">
        <v>3.387</v>
      </c>
      <c r="M132" s="313">
        <v>4.1100000000000003</v>
      </c>
      <c r="N132" s="313">
        <v>3.41</v>
      </c>
      <c r="O132" s="313">
        <v>1.6600000000000001</v>
      </c>
      <c r="P132" s="326">
        <v>3.06</v>
      </c>
      <c r="Q132" s="324">
        <v>2.9790000000000005</v>
      </c>
      <c r="R132" s="313">
        <v>1.6666666666666667</v>
      </c>
      <c r="S132" s="313">
        <v>0.4</v>
      </c>
      <c r="T132" s="313">
        <v>1.9</v>
      </c>
      <c r="U132" s="313">
        <v>2.8477666666666663</v>
      </c>
      <c r="V132" s="325">
        <f t="shared" si="16"/>
        <v>2.9631780151552189</v>
      </c>
      <c r="W132" s="313">
        <f t="shared" si="14"/>
        <v>17</v>
      </c>
      <c r="X132" s="313">
        <f t="shared" si="15"/>
        <v>26</v>
      </c>
      <c r="Y132" s="313">
        <f t="shared" si="17"/>
        <v>-9</v>
      </c>
      <c r="Z132" s="313">
        <f t="shared" si="18"/>
        <v>9</v>
      </c>
    </row>
    <row r="133" spans="1:26">
      <c r="A133" s="313" t="s">
        <v>381</v>
      </c>
      <c r="D133" s="313" t="s">
        <v>256</v>
      </c>
      <c r="E133" s="313">
        <v>9.52</v>
      </c>
      <c r="F133" s="313">
        <v>0.36999999999999922</v>
      </c>
      <c r="G133" s="326">
        <v>4.9449999999999994</v>
      </c>
      <c r="H133" s="313">
        <v>2.2199999999999998</v>
      </c>
      <c r="I133" s="313">
        <v>1.5700000000000003</v>
      </c>
      <c r="J133" s="313">
        <v>1.9299999999999997</v>
      </c>
      <c r="K133" s="313">
        <v>2.09</v>
      </c>
      <c r="L133" s="326">
        <v>1.9135</v>
      </c>
      <c r="M133" s="313">
        <v>2.2400000000000002</v>
      </c>
      <c r="N133" s="313">
        <v>1.1600000000000001</v>
      </c>
      <c r="O133" s="313">
        <v>1.33</v>
      </c>
      <c r="P133" s="326">
        <v>1.5766666666666669</v>
      </c>
      <c r="Q133" s="324">
        <v>2.811722222222222</v>
      </c>
      <c r="R133" s="313">
        <v>2.6666666666666665</v>
      </c>
      <c r="S133" s="313">
        <v>0.2</v>
      </c>
      <c r="T133" s="313">
        <v>4.5</v>
      </c>
      <c r="U133" s="313">
        <v>2.7972166666666665</v>
      </c>
      <c r="V133" s="325">
        <f t="shared" si="16"/>
        <v>2.5695992310537825</v>
      </c>
      <c r="W133" s="313">
        <f t="shared" si="14"/>
        <v>16</v>
      </c>
      <c r="X133" s="313">
        <f t="shared" si="15"/>
        <v>16</v>
      </c>
      <c r="Y133" s="313">
        <f t="shared" si="17"/>
        <v>0</v>
      </c>
      <c r="Z133" s="313">
        <f t="shared" si="18"/>
        <v>0</v>
      </c>
    </row>
    <row r="134" spans="1:26">
      <c r="A134" s="313" t="s">
        <v>387</v>
      </c>
      <c r="D134" s="313" t="s">
        <v>247</v>
      </c>
      <c r="E134" s="313">
        <v>2.9000000000000004</v>
      </c>
      <c r="F134" s="313">
        <v>0.15000000000000036</v>
      </c>
      <c r="G134" s="326">
        <v>1.5250000000000004</v>
      </c>
      <c r="H134" s="313">
        <v>2.37</v>
      </c>
      <c r="I134" s="313">
        <v>3.7300000000000004</v>
      </c>
      <c r="J134" s="313">
        <v>1.1400000000000006</v>
      </c>
      <c r="K134" s="313">
        <v>2.8</v>
      </c>
      <c r="L134" s="326">
        <v>2.5600000000000005</v>
      </c>
      <c r="M134" s="313">
        <v>4.07</v>
      </c>
      <c r="N134" s="313">
        <v>5.9</v>
      </c>
      <c r="O134" s="313">
        <v>2.92</v>
      </c>
      <c r="P134" s="326">
        <v>4.2966666666666669</v>
      </c>
      <c r="Q134" s="324">
        <v>2.7938888888888891</v>
      </c>
      <c r="R134" s="313">
        <v>0.66666666666666663</v>
      </c>
      <c r="S134" s="313">
        <v>0.4</v>
      </c>
      <c r="T134" s="313">
        <v>0.5</v>
      </c>
      <c r="U134" s="313">
        <v>2.5811666666666668</v>
      </c>
      <c r="V134" s="325">
        <f t="shared" si="16"/>
        <v>2.6370949745652088</v>
      </c>
      <c r="W134" s="313">
        <f t="shared" si="14"/>
        <v>15</v>
      </c>
      <c r="X134" s="313">
        <f t="shared" si="15"/>
        <v>18</v>
      </c>
      <c r="Y134" s="313">
        <f t="shared" si="17"/>
        <v>-3</v>
      </c>
      <c r="Z134" s="313">
        <f t="shared" si="18"/>
        <v>3</v>
      </c>
    </row>
    <row r="135" spans="1:26">
      <c r="A135" s="313" t="s">
        <v>426</v>
      </c>
      <c r="D135" s="313" t="s">
        <v>268</v>
      </c>
      <c r="E135" s="313">
        <v>1.6600000000000001</v>
      </c>
      <c r="F135" s="313">
        <v>0.58000000000000007</v>
      </c>
      <c r="G135" s="326">
        <v>1.1200000000000001</v>
      </c>
      <c r="H135" s="313">
        <v>2.0700000000000003</v>
      </c>
      <c r="I135" s="313">
        <v>3.96</v>
      </c>
      <c r="J135" s="313">
        <v>1.3499999999999996</v>
      </c>
      <c r="K135" s="313">
        <v>3.59</v>
      </c>
      <c r="L135" s="326">
        <v>2.6274999999999999</v>
      </c>
      <c r="M135" s="313">
        <v>4.82</v>
      </c>
      <c r="N135" s="313">
        <v>6.82</v>
      </c>
      <c r="O135" s="313">
        <v>2.13</v>
      </c>
      <c r="P135" s="326">
        <v>4.59</v>
      </c>
      <c r="Q135" s="324">
        <v>2.7791666666666668</v>
      </c>
      <c r="R135" s="313">
        <v>0</v>
      </c>
      <c r="S135" s="313">
        <v>0.4</v>
      </c>
      <c r="T135" s="313">
        <v>0.2</v>
      </c>
      <c r="U135" s="313">
        <v>2.5012499999999998</v>
      </c>
      <c r="V135" s="325">
        <f t="shared" si="16"/>
        <v>2.5160038378501524</v>
      </c>
      <c r="W135" s="313">
        <f t="shared" si="14"/>
        <v>14</v>
      </c>
      <c r="X135" s="313">
        <f t="shared" si="15"/>
        <v>15</v>
      </c>
      <c r="Y135" s="313">
        <f t="shared" si="17"/>
        <v>-1</v>
      </c>
      <c r="Z135" s="313">
        <f t="shared" si="18"/>
        <v>1</v>
      </c>
    </row>
    <row r="136" spans="1:26">
      <c r="A136" s="313" t="s">
        <v>390</v>
      </c>
      <c r="D136" s="313" t="s">
        <v>247</v>
      </c>
      <c r="E136" s="313">
        <v>0.65000000000000036</v>
      </c>
      <c r="F136" s="313">
        <v>0.5600000000000005</v>
      </c>
      <c r="G136" s="326">
        <v>0.60500000000000043</v>
      </c>
      <c r="H136" s="313">
        <v>2.0099999999999998</v>
      </c>
      <c r="I136" s="313">
        <v>3.4800000000000004</v>
      </c>
      <c r="J136" s="313">
        <v>1.08</v>
      </c>
      <c r="K136" s="313">
        <v>1.7699999999999996</v>
      </c>
      <c r="L136" s="326">
        <v>2.2799999999999998</v>
      </c>
      <c r="M136" s="313">
        <v>4.95</v>
      </c>
      <c r="N136" s="313">
        <v>5.53</v>
      </c>
      <c r="O136" s="313">
        <v>4.54</v>
      </c>
      <c r="P136" s="326">
        <v>5.0066666666666668</v>
      </c>
      <c r="Q136" s="324">
        <v>2.630555555555556</v>
      </c>
      <c r="R136" s="313">
        <v>0.66666666666666663</v>
      </c>
      <c r="S136" s="313">
        <v>0.4</v>
      </c>
      <c r="T136" s="313">
        <v>0.5</v>
      </c>
      <c r="U136" s="313">
        <v>2.434166666666667</v>
      </c>
      <c r="V136" s="325">
        <f t="shared" si="16"/>
        <v>2.1511410910578537</v>
      </c>
      <c r="W136" s="313">
        <f t="shared" si="14"/>
        <v>13</v>
      </c>
      <c r="X136" s="313">
        <f t="shared" si="15"/>
        <v>6</v>
      </c>
      <c r="Y136" s="313">
        <f t="shared" si="17"/>
        <v>7</v>
      </c>
      <c r="Z136" s="313">
        <f t="shared" si="18"/>
        <v>7</v>
      </c>
    </row>
    <row r="137" spans="1:26">
      <c r="A137" s="313" t="s">
        <v>389</v>
      </c>
      <c r="D137" s="313" t="s">
        <v>251</v>
      </c>
      <c r="E137" s="313">
        <v>0.33999999999999986</v>
      </c>
      <c r="F137" s="313">
        <v>4.34</v>
      </c>
      <c r="G137" s="326">
        <v>2.34</v>
      </c>
      <c r="H137" s="313">
        <v>1.83</v>
      </c>
      <c r="I137" s="313">
        <v>2.58</v>
      </c>
      <c r="J137" s="313">
        <v>1.4299999999999997</v>
      </c>
      <c r="K137" s="313">
        <v>3.54</v>
      </c>
      <c r="L137" s="326">
        <v>2.0779999999999998</v>
      </c>
      <c r="M137" s="313">
        <v>6</v>
      </c>
      <c r="N137" s="313">
        <v>2.8499999999999996</v>
      </c>
      <c r="O137" s="313">
        <v>1.4000000000000004</v>
      </c>
      <c r="P137" s="326">
        <v>3.4166666666666665</v>
      </c>
      <c r="Q137" s="324">
        <v>2.611555555555555</v>
      </c>
      <c r="R137" s="313">
        <v>1</v>
      </c>
      <c r="S137" s="313">
        <v>7.6</v>
      </c>
      <c r="T137" s="313">
        <v>2.2000000000000002</v>
      </c>
      <c r="U137" s="313">
        <v>2.4503999999999997</v>
      </c>
      <c r="V137" s="325">
        <f t="shared" si="16"/>
        <v>2.5710782271653292</v>
      </c>
      <c r="W137" s="313">
        <f t="shared" si="14"/>
        <v>12</v>
      </c>
      <c r="X137" s="313">
        <f t="shared" si="15"/>
        <v>17</v>
      </c>
      <c r="Y137" s="313">
        <f t="shared" si="17"/>
        <v>-5</v>
      </c>
      <c r="Z137" s="313">
        <f t="shared" si="18"/>
        <v>5</v>
      </c>
    </row>
    <row r="138" spans="1:26">
      <c r="A138" s="313" t="s">
        <v>391</v>
      </c>
      <c r="D138" s="313" t="s">
        <v>256</v>
      </c>
      <c r="E138" s="313">
        <v>6.24</v>
      </c>
      <c r="F138" s="313">
        <v>0.11999999999999922</v>
      </c>
      <c r="G138" s="326">
        <v>3.1799999999999997</v>
      </c>
      <c r="H138" s="313">
        <v>1.8000000000000007</v>
      </c>
      <c r="I138" s="313">
        <v>1.4700000000000006</v>
      </c>
      <c r="J138" s="313">
        <v>1.8000000000000007</v>
      </c>
      <c r="K138" s="313">
        <v>2</v>
      </c>
      <c r="L138" s="326">
        <v>1.6945000000000006</v>
      </c>
      <c r="M138" s="313">
        <v>2.79</v>
      </c>
      <c r="N138" s="313">
        <v>3.6799999999999997</v>
      </c>
      <c r="O138" s="313">
        <v>1.4499999999999993</v>
      </c>
      <c r="P138" s="326">
        <v>2.6399999999999997</v>
      </c>
      <c r="Q138" s="324">
        <v>2.5048333333333335</v>
      </c>
      <c r="R138" s="313">
        <v>1</v>
      </c>
      <c r="S138" s="313">
        <v>0.2</v>
      </c>
      <c r="T138" s="313">
        <v>0.7</v>
      </c>
      <c r="U138" s="313">
        <v>2.3543500000000002</v>
      </c>
      <c r="V138" s="325">
        <f t="shared" si="16"/>
        <v>2.4509383622306267</v>
      </c>
      <c r="W138" s="313">
        <f t="shared" si="14"/>
        <v>11</v>
      </c>
      <c r="X138" s="313">
        <f t="shared" si="15"/>
        <v>13</v>
      </c>
      <c r="Y138" s="313">
        <f t="shared" si="17"/>
        <v>-2</v>
      </c>
      <c r="Z138" s="313">
        <f t="shared" si="18"/>
        <v>2</v>
      </c>
    </row>
    <row r="139" spans="1:26">
      <c r="A139" s="313" t="s">
        <v>394</v>
      </c>
      <c r="D139" s="313" t="s">
        <v>268</v>
      </c>
      <c r="E139" s="313">
        <v>2.0700000000000003</v>
      </c>
      <c r="F139" s="313">
        <v>1.2599999999999998</v>
      </c>
      <c r="G139" s="326">
        <v>1.665</v>
      </c>
      <c r="H139" s="313">
        <v>2.2000000000000002</v>
      </c>
      <c r="I139" s="313">
        <v>2.62</v>
      </c>
      <c r="J139" s="313">
        <v>1.4800000000000004</v>
      </c>
      <c r="K139" s="313">
        <v>1.75</v>
      </c>
      <c r="L139" s="326">
        <v>2.1444999999999999</v>
      </c>
      <c r="M139" s="313">
        <v>3.7800000000000002</v>
      </c>
      <c r="N139" s="313">
        <v>4.53</v>
      </c>
      <c r="O139" s="313">
        <v>2.3600000000000003</v>
      </c>
      <c r="P139" s="326">
        <v>3.5566666666666671</v>
      </c>
      <c r="Q139" s="324">
        <v>2.4553888888888888</v>
      </c>
      <c r="R139" s="313">
        <v>0</v>
      </c>
      <c r="S139" s="313">
        <v>1</v>
      </c>
      <c r="T139" s="313">
        <v>0.3</v>
      </c>
      <c r="U139" s="313">
        <v>2.2098500000000003</v>
      </c>
      <c r="V139" s="325">
        <f t="shared" si="16"/>
        <v>2.3725786348084701</v>
      </c>
      <c r="W139" s="313">
        <f t="shared" si="14"/>
        <v>10</v>
      </c>
      <c r="X139" s="313">
        <f t="shared" si="15"/>
        <v>11</v>
      </c>
      <c r="Y139" s="313">
        <f t="shared" si="17"/>
        <v>-1</v>
      </c>
      <c r="Z139" s="313">
        <f t="shared" si="18"/>
        <v>1</v>
      </c>
    </row>
    <row r="140" spans="1:26">
      <c r="A140" s="313" t="s">
        <v>392</v>
      </c>
      <c r="D140" s="313" t="s">
        <v>268</v>
      </c>
      <c r="E140" s="313">
        <v>2.38</v>
      </c>
      <c r="F140" s="313">
        <v>0.44999999999999929</v>
      </c>
      <c r="G140" s="326">
        <v>1.4149999999999996</v>
      </c>
      <c r="H140" s="313">
        <v>2.25</v>
      </c>
      <c r="I140" s="313">
        <v>2.5499999999999998</v>
      </c>
      <c r="J140" s="313">
        <v>2.1799999999999997</v>
      </c>
      <c r="K140" s="313">
        <v>1.8200000000000003</v>
      </c>
      <c r="L140" s="326">
        <v>2.3159999999999998</v>
      </c>
      <c r="M140" s="313">
        <v>3.09</v>
      </c>
      <c r="N140" s="313">
        <v>5.45</v>
      </c>
      <c r="O140" s="313">
        <v>2.0199999999999996</v>
      </c>
      <c r="P140" s="326">
        <v>3.5199999999999996</v>
      </c>
      <c r="Q140" s="324">
        <v>2.4169999999999998</v>
      </c>
      <c r="R140" s="313">
        <v>1.3333333333333333</v>
      </c>
      <c r="S140" s="313">
        <v>1.8</v>
      </c>
      <c r="T140" s="313">
        <v>1.5</v>
      </c>
      <c r="U140" s="313">
        <v>2.3086333333333333</v>
      </c>
      <c r="V140" s="325">
        <f t="shared" si="16"/>
        <v>2.3120307443175721</v>
      </c>
      <c r="W140" s="313">
        <f t="shared" si="14"/>
        <v>9</v>
      </c>
      <c r="X140" s="313">
        <f t="shared" si="15"/>
        <v>10</v>
      </c>
      <c r="Y140" s="313">
        <f t="shared" si="17"/>
        <v>-1</v>
      </c>
      <c r="Z140" s="313">
        <f t="shared" si="18"/>
        <v>1</v>
      </c>
    </row>
    <row r="141" spans="1:26">
      <c r="A141" s="313" t="s">
        <v>395</v>
      </c>
      <c r="D141" s="313" t="s">
        <v>251</v>
      </c>
      <c r="E141" s="313">
        <v>0.92999999999999972</v>
      </c>
      <c r="F141" s="313">
        <v>2.4900000000000002</v>
      </c>
      <c r="G141" s="326">
        <v>1.71</v>
      </c>
      <c r="H141" s="313">
        <v>1.75</v>
      </c>
      <c r="I141" s="313">
        <v>2.2000000000000002</v>
      </c>
      <c r="J141" s="313">
        <v>0.58000000000000007</v>
      </c>
      <c r="K141" s="313">
        <v>3.58</v>
      </c>
      <c r="L141" s="326">
        <v>1.7064999999999999</v>
      </c>
      <c r="M141" s="313">
        <v>5.31</v>
      </c>
      <c r="N141" s="313">
        <v>2.67</v>
      </c>
      <c r="O141" s="313">
        <v>2.4900000000000002</v>
      </c>
      <c r="P141" s="326">
        <v>3.4899999999999998</v>
      </c>
      <c r="Q141" s="324">
        <v>2.3021666666666665</v>
      </c>
      <c r="R141" s="313">
        <v>1.3333333333333333</v>
      </c>
      <c r="S141" s="313">
        <v>1</v>
      </c>
      <c r="T141" s="313">
        <v>1.3</v>
      </c>
      <c r="U141" s="313">
        <v>2.2052833333333335</v>
      </c>
      <c r="V141" s="325">
        <f t="shared" si="16"/>
        <v>2.2099848514445144</v>
      </c>
      <c r="W141" s="313">
        <f t="shared" si="14"/>
        <v>8</v>
      </c>
      <c r="X141" s="313">
        <f t="shared" si="15"/>
        <v>9</v>
      </c>
      <c r="Y141" s="313">
        <f t="shared" si="17"/>
        <v>-1</v>
      </c>
      <c r="Z141" s="313">
        <f t="shared" si="18"/>
        <v>1</v>
      </c>
    </row>
    <row r="142" spans="1:26">
      <c r="A142" s="313" t="s">
        <v>393</v>
      </c>
      <c r="C142" s="313" t="s">
        <v>265</v>
      </c>
      <c r="D142" s="313" t="s">
        <v>251</v>
      </c>
      <c r="E142" s="313">
        <v>2.41</v>
      </c>
      <c r="F142" s="313">
        <v>1.7899999999999991</v>
      </c>
      <c r="G142" s="326">
        <v>2.0999999999999996</v>
      </c>
      <c r="H142" s="313">
        <v>1.6500000000000004</v>
      </c>
      <c r="I142" s="313">
        <v>1.7300000000000004</v>
      </c>
      <c r="J142" s="313">
        <v>0.82000000000000028</v>
      </c>
      <c r="K142" s="313">
        <v>3.0999999999999996</v>
      </c>
      <c r="L142" s="326">
        <v>1.5430000000000004</v>
      </c>
      <c r="M142" s="313">
        <v>5.71</v>
      </c>
      <c r="N142" s="313">
        <v>2.0099999999999998</v>
      </c>
      <c r="O142" s="313">
        <v>1.4900000000000002</v>
      </c>
      <c r="P142" s="326">
        <v>3.0700000000000003</v>
      </c>
      <c r="Q142" s="324">
        <v>2.2376666666666667</v>
      </c>
      <c r="R142" s="313">
        <v>2.3333333333333335</v>
      </c>
      <c r="S142" s="313">
        <v>0.2</v>
      </c>
      <c r="T142" s="313">
        <v>3.6</v>
      </c>
      <c r="U142" s="313">
        <v>2.2472333333333334</v>
      </c>
      <c r="V142" s="325">
        <f t="shared" si="16"/>
        <v>2.1793192600521274</v>
      </c>
      <c r="W142" s="313">
        <f t="shared" si="14"/>
        <v>7</v>
      </c>
      <c r="X142" s="313">
        <f t="shared" si="15"/>
        <v>7</v>
      </c>
      <c r="Y142" s="313">
        <f t="shared" si="17"/>
        <v>0</v>
      </c>
      <c r="Z142" s="313">
        <f t="shared" si="18"/>
        <v>0</v>
      </c>
    </row>
    <row r="143" spans="1:26">
      <c r="A143" s="313" t="s">
        <v>397</v>
      </c>
      <c r="D143" s="313" t="s">
        <v>256</v>
      </c>
      <c r="E143" s="313">
        <v>1.8900000000000006</v>
      </c>
      <c r="F143" s="313">
        <v>0.6899999999999995</v>
      </c>
      <c r="G143" s="326">
        <v>1.29</v>
      </c>
      <c r="H143" s="313">
        <v>1.5700000000000003</v>
      </c>
      <c r="I143" s="313">
        <v>2.5999999999999996</v>
      </c>
      <c r="J143" s="313">
        <v>0.86999999999999922</v>
      </c>
      <c r="K143" s="313">
        <v>4.6900000000000004</v>
      </c>
      <c r="L143" s="326">
        <v>1.9114999999999998</v>
      </c>
      <c r="M143" s="313">
        <v>5.81</v>
      </c>
      <c r="N143" s="313">
        <v>2.5300000000000002</v>
      </c>
      <c r="O143" s="313">
        <v>2.0599999999999996</v>
      </c>
      <c r="P143" s="326">
        <v>3.4666666666666663</v>
      </c>
      <c r="Q143" s="324">
        <v>2.222722222222222</v>
      </c>
      <c r="R143" s="313">
        <v>0</v>
      </c>
      <c r="S143" s="313">
        <v>0.2</v>
      </c>
      <c r="T143" s="313">
        <v>0.1</v>
      </c>
      <c r="U143" s="313">
        <v>2.0004499999999998</v>
      </c>
      <c r="V143" s="325">
        <f t="shared" si="16"/>
        <v>2.1022392647910442</v>
      </c>
      <c r="W143" s="313">
        <f t="shared" si="14"/>
        <v>6</v>
      </c>
      <c r="X143" s="313">
        <f t="shared" si="15"/>
        <v>5</v>
      </c>
      <c r="Y143" s="313">
        <f t="shared" si="17"/>
        <v>1</v>
      </c>
      <c r="Z143" s="313">
        <f t="shared" si="18"/>
        <v>1</v>
      </c>
    </row>
    <row r="144" spans="1:26">
      <c r="A144" s="313" t="s">
        <v>427</v>
      </c>
      <c r="D144" s="313" t="s">
        <v>256</v>
      </c>
      <c r="E144" s="313">
        <v>3.87</v>
      </c>
      <c r="F144" s="313">
        <v>1.9499999999999993</v>
      </c>
      <c r="G144" s="326">
        <v>2.9099999999999997</v>
      </c>
      <c r="H144" s="313">
        <v>1.9299999999999997</v>
      </c>
      <c r="I144" s="313">
        <v>1.8000000000000007</v>
      </c>
      <c r="J144" s="313">
        <v>1.3499999999999996</v>
      </c>
      <c r="K144" s="313">
        <v>2.6900000000000004</v>
      </c>
      <c r="L144" s="326">
        <v>1.7775000000000001</v>
      </c>
      <c r="M144" s="313">
        <v>2.2699999999999996</v>
      </c>
      <c r="N144" s="313">
        <v>2.2599999999999998</v>
      </c>
      <c r="O144" s="313">
        <v>1.3800000000000008</v>
      </c>
      <c r="P144" s="326">
        <v>1.97</v>
      </c>
      <c r="Q144" s="324">
        <v>2.2191666666666667</v>
      </c>
      <c r="R144" s="313">
        <v>2</v>
      </c>
      <c r="S144" s="313">
        <v>0.2</v>
      </c>
      <c r="T144" s="313">
        <v>2.6</v>
      </c>
      <c r="U144" s="313">
        <v>2.1972499999999999</v>
      </c>
      <c r="V144" s="325">
        <f t="shared" si="16"/>
        <v>2.1845525800747576</v>
      </c>
      <c r="W144" s="313">
        <f t="shared" si="14"/>
        <v>5</v>
      </c>
      <c r="X144" s="313">
        <f t="shared" si="15"/>
        <v>8</v>
      </c>
      <c r="Y144" s="313">
        <f t="shared" si="17"/>
        <v>-3</v>
      </c>
      <c r="Z144" s="313">
        <f t="shared" si="18"/>
        <v>3</v>
      </c>
    </row>
    <row r="145" spans="1:26">
      <c r="A145" s="313" t="s">
        <v>398</v>
      </c>
      <c r="D145" s="313" t="s">
        <v>268</v>
      </c>
      <c r="E145" s="313">
        <v>1.33</v>
      </c>
      <c r="F145" s="313">
        <v>1.1300000000000008</v>
      </c>
      <c r="G145" s="326">
        <v>1.2300000000000004</v>
      </c>
      <c r="H145" s="313">
        <v>1.9000000000000004</v>
      </c>
      <c r="I145" s="313">
        <v>2.9699999999999998</v>
      </c>
      <c r="J145" s="313">
        <v>1.3200000000000003</v>
      </c>
      <c r="K145" s="313">
        <v>1.5399999999999991</v>
      </c>
      <c r="L145" s="326">
        <v>2.1114999999999999</v>
      </c>
      <c r="M145" s="313">
        <v>3.5700000000000003</v>
      </c>
      <c r="N145" s="313">
        <v>4.2300000000000004</v>
      </c>
      <c r="O145" s="313">
        <v>0.88000000000000078</v>
      </c>
      <c r="P145" s="326">
        <v>2.893333333333334</v>
      </c>
      <c r="Q145" s="324">
        <v>2.0782777777777781</v>
      </c>
      <c r="R145" s="313">
        <v>1</v>
      </c>
      <c r="S145" s="313">
        <v>1</v>
      </c>
      <c r="T145" s="313">
        <v>0.9</v>
      </c>
      <c r="U145" s="313">
        <v>1.9704500000000005</v>
      </c>
      <c r="V145" s="325">
        <f t="shared" si="16"/>
        <v>1.9992701246996749</v>
      </c>
      <c r="W145" s="313">
        <f t="shared" si="14"/>
        <v>4</v>
      </c>
      <c r="X145" s="313">
        <f t="shared" si="15"/>
        <v>4</v>
      </c>
      <c r="Y145" s="313">
        <f t="shared" si="17"/>
        <v>0</v>
      </c>
      <c r="Z145" s="313">
        <f t="shared" si="18"/>
        <v>0</v>
      </c>
    </row>
    <row r="146" spans="1:26">
      <c r="A146" s="313" t="s">
        <v>399</v>
      </c>
      <c r="D146" s="313" t="s">
        <v>256</v>
      </c>
      <c r="E146" s="313">
        <v>2.4400000000000004</v>
      </c>
      <c r="F146" s="313">
        <v>1.1999999999999993</v>
      </c>
      <c r="G146" s="326">
        <v>1.8199999999999998</v>
      </c>
      <c r="H146" s="313">
        <v>1.7899999999999991</v>
      </c>
      <c r="I146" s="313">
        <v>1.3000000000000007</v>
      </c>
      <c r="J146" s="313">
        <v>1.8000000000000007</v>
      </c>
      <c r="K146" s="313">
        <v>2.8099999999999996</v>
      </c>
      <c r="L146" s="326">
        <v>1.6720000000000002</v>
      </c>
      <c r="M146" s="313">
        <v>1.9700000000000006</v>
      </c>
      <c r="N146" s="313">
        <v>2.2800000000000002</v>
      </c>
      <c r="O146" s="313">
        <v>2.46</v>
      </c>
      <c r="P146" s="326">
        <v>2.2366666666666668</v>
      </c>
      <c r="Q146" s="324">
        <v>1.9095555555555557</v>
      </c>
      <c r="R146" s="313">
        <v>1</v>
      </c>
      <c r="S146" s="313">
        <v>0.2</v>
      </c>
      <c r="T146" s="313">
        <v>0.7</v>
      </c>
      <c r="U146" s="313">
        <v>1.8186000000000002</v>
      </c>
      <c r="V146" s="325">
        <f t="shared" si="16"/>
        <v>1.8998677226557414</v>
      </c>
      <c r="W146" s="313">
        <f t="shared" si="14"/>
        <v>3</v>
      </c>
      <c r="X146" s="313">
        <f t="shared" si="15"/>
        <v>3</v>
      </c>
      <c r="Y146" s="313">
        <f t="shared" si="17"/>
        <v>0</v>
      </c>
      <c r="Z146" s="313">
        <f t="shared" si="18"/>
        <v>0</v>
      </c>
    </row>
    <row r="147" spans="1:26">
      <c r="A147" s="313" t="s">
        <v>400</v>
      </c>
      <c r="D147" s="313" t="s">
        <v>251</v>
      </c>
      <c r="E147" s="313">
        <v>0.23000000000000043</v>
      </c>
      <c r="F147" s="313">
        <v>0.99000000000000021</v>
      </c>
      <c r="G147" s="326">
        <v>0.61000000000000032</v>
      </c>
      <c r="H147" s="313">
        <v>1.8399999999999999</v>
      </c>
      <c r="I147" s="313">
        <v>2.2300000000000004</v>
      </c>
      <c r="J147" s="313">
        <v>0.51999999999999957</v>
      </c>
      <c r="K147" s="313">
        <v>3.5199999999999996</v>
      </c>
      <c r="L147" s="326">
        <v>1.7304999999999999</v>
      </c>
      <c r="M147" s="313">
        <v>5.62</v>
      </c>
      <c r="N147" s="313">
        <v>2.1399999999999997</v>
      </c>
      <c r="O147" s="313">
        <v>1.8900000000000006</v>
      </c>
      <c r="P147" s="326">
        <v>3.2166666666666668</v>
      </c>
      <c r="Q147" s="324">
        <v>1.8523888888888891</v>
      </c>
      <c r="R147" s="313">
        <v>0.33333333333333331</v>
      </c>
      <c r="S147" s="313">
        <v>0.2</v>
      </c>
      <c r="T147" s="313">
        <v>0.2</v>
      </c>
      <c r="U147" s="313">
        <v>1.7004833333333333</v>
      </c>
      <c r="V147" s="325">
        <f t="shared" si="16"/>
        <v>1.6220101160256641</v>
      </c>
      <c r="W147" s="313">
        <f t="shared" si="14"/>
        <v>2</v>
      </c>
      <c r="X147" s="313">
        <f t="shared" si="15"/>
        <v>2</v>
      </c>
      <c r="Y147" s="313">
        <f t="shared" si="17"/>
        <v>0</v>
      </c>
      <c r="Z147" s="313">
        <f t="shared" si="18"/>
        <v>0</v>
      </c>
    </row>
    <row r="148" spans="1:26">
      <c r="A148" s="313" t="s">
        <v>401</v>
      </c>
      <c r="D148" s="313" t="s">
        <v>256</v>
      </c>
      <c r="E148" s="313">
        <v>1.9100000000000001</v>
      </c>
      <c r="F148" s="313">
        <v>0.58000000000000007</v>
      </c>
      <c r="G148" s="326">
        <v>1.2450000000000001</v>
      </c>
      <c r="H148" s="313">
        <v>1.3800000000000008</v>
      </c>
      <c r="I148" s="313">
        <v>1.6300000000000008</v>
      </c>
      <c r="J148" s="313">
        <v>1.2100000000000009</v>
      </c>
      <c r="K148" s="313">
        <v>2.74</v>
      </c>
      <c r="L148" s="326">
        <v>1.4930000000000008</v>
      </c>
      <c r="M148" s="313">
        <v>3.49</v>
      </c>
      <c r="N148" s="313">
        <v>1.6799999999999997</v>
      </c>
      <c r="O148" s="313">
        <v>1.17</v>
      </c>
      <c r="P148" s="326">
        <v>2.1133333333333333</v>
      </c>
      <c r="Q148" s="324">
        <v>1.6171111111111116</v>
      </c>
      <c r="R148" s="313">
        <v>0</v>
      </c>
      <c r="S148" s="313">
        <v>0.2</v>
      </c>
      <c r="T148" s="313">
        <v>0.1</v>
      </c>
      <c r="U148" s="313">
        <v>1.4554000000000002</v>
      </c>
      <c r="V148" s="325">
        <f t="shared" si="16"/>
        <v>1.5906780259794531</v>
      </c>
      <c r="W148" s="313">
        <f t="shared" si="14"/>
        <v>1</v>
      </c>
      <c r="X148" s="313">
        <f t="shared" si="15"/>
        <v>1</v>
      </c>
      <c r="Y148" s="313">
        <f t="shared" si="17"/>
        <v>0</v>
      </c>
      <c r="Z148" s="313">
        <f t="shared" si="18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"/>
  <dimension ref="A1:P22"/>
  <sheetViews>
    <sheetView workbookViewId="0"/>
  </sheetViews>
  <sheetFormatPr defaultRowHeight="15"/>
  <sheetData>
    <row r="1" spans="1:16" ht="22.5" customHeight="1" thickBot="1">
      <c r="A1" s="1"/>
      <c r="B1" s="417" t="s">
        <v>0</v>
      </c>
      <c r="C1" s="418"/>
      <c r="D1" s="417" t="s">
        <v>2</v>
      </c>
      <c r="E1" s="418"/>
      <c r="F1" s="417" t="s">
        <v>3</v>
      </c>
      <c r="G1" s="418"/>
      <c r="H1" s="421" t="s">
        <v>4</v>
      </c>
      <c r="I1" s="422"/>
      <c r="J1" s="422"/>
      <c r="K1" s="422"/>
      <c r="L1" s="422"/>
      <c r="M1" s="422"/>
      <c r="N1" s="422"/>
      <c r="O1" s="422"/>
      <c r="P1" s="423"/>
    </row>
    <row r="2" spans="1:16" ht="46.5" thickBot="1">
      <c r="A2" s="2"/>
      <c r="B2" s="419" t="s">
        <v>1</v>
      </c>
      <c r="C2" s="420"/>
      <c r="D2" s="419"/>
      <c r="E2" s="420"/>
      <c r="F2" s="419"/>
      <c r="G2" s="420"/>
      <c r="H2" s="424" t="s">
        <v>5</v>
      </c>
      <c r="I2" s="425"/>
      <c r="J2" s="424" t="s">
        <v>6</v>
      </c>
      <c r="K2" s="425"/>
      <c r="L2" s="424" t="s">
        <v>7</v>
      </c>
      <c r="M2" s="425"/>
      <c r="N2" s="424" t="s">
        <v>8</v>
      </c>
      <c r="O2" s="425"/>
      <c r="P2" s="3" t="s">
        <v>9</v>
      </c>
    </row>
    <row r="3" spans="1:16" ht="15.75" thickBot="1">
      <c r="A3" s="4" t="s">
        <v>10</v>
      </c>
      <c r="B3" s="5" t="s">
        <v>11</v>
      </c>
      <c r="C3" s="5" t="s">
        <v>12</v>
      </c>
      <c r="D3" s="5" t="s">
        <v>11</v>
      </c>
      <c r="E3" s="5" t="s">
        <v>12</v>
      </c>
      <c r="F3" s="5" t="s">
        <v>11</v>
      </c>
      <c r="G3" s="5" t="s">
        <v>12</v>
      </c>
      <c r="H3" s="5" t="s">
        <v>11</v>
      </c>
      <c r="I3" s="5" t="s">
        <v>12</v>
      </c>
      <c r="J3" s="5" t="s">
        <v>11</v>
      </c>
      <c r="K3" s="5" t="s">
        <v>12</v>
      </c>
      <c r="L3" s="5" t="s">
        <v>11</v>
      </c>
      <c r="M3" s="5" t="s">
        <v>12</v>
      </c>
      <c r="N3" s="5" t="s">
        <v>11</v>
      </c>
      <c r="O3" s="5" t="s">
        <v>12</v>
      </c>
      <c r="P3" s="5" t="s">
        <v>12</v>
      </c>
    </row>
    <row r="4" spans="1:16" ht="15.75" thickBot="1">
      <c r="A4" s="6" t="s">
        <v>13</v>
      </c>
      <c r="B4" s="7">
        <v>5372</v>
      </c>
      <c r="C4" s="9">
        <v>0.1</v>
      </c>
      <c r="D4" s="10">
        <v>18894</v>
      </c>
      <c r="E4" s="9">
        <v>0.12</v>
      </c>
      <c r="F4" s="11">
        <v>46</v>
      </c>
      <c r="G4" s="12">
        <v>0.12</v>
      </c>
      <c r="H4" s="13">
        <v>132</v>
      </c>
      <c r="I4" s="9">
        <v>0.09</v>
      </c>
      <c r="J4" s="13">
        <v>269</v>
      </c>
      <c r="K4" s="9">
        <v>0.03</v>
      </c>
      <c r="L4" s="13" t="s">
        <v>14</v>
      </c>
      <c r="M4" s="13"/>
      <c r="N4" s="13">
        <v>287</v>
      </c>
      <c r="O4" s="9">
        <v>0</v>
      </c>
      <c r="P4" s="12">
        <v>0.04</v>
      </c>
    </row>
    <row r="5" spans="1:16" ht="15.75" thickBot="1">
      <c r="A5" s="14" t="s">
        <v>15</v>
      </c>
      <c r="B5" s="15">
        <v>1194</v>
      </c>
      <c r="C5" s="16">
        <v>0.02</v>
      </c>
      <c r="D5" s="17" t="s">
        <v>14</v>
      </c>
      <c r="E5" s="17" t="s">
        <v>14</v>
      </c>
      <c r="F5" s="18">
        <v>21</v>
      </c>
      <c r="G5" s="19">
        <v>0.06</v>
      </c>
      <c r="H5" s="17">
        <v>81</v>
      </c>
      <c r="I5" s="16">
        <v>0.06</v>
      </c>
      <c r="J5" s="15">
        <v>1079</v>
      </c>
      <c r="K5" s="16">
        <v>0.11</v>
      </c>
      <c r="L5" s="17">
        <v>45</v>
      </c>
      <c r="M5" s="16">
        <v>0.09</v>
      </c>
      <c r="N5" s="15">
        <v>8900</v>
      </c>
      <c r="O5" s="16">
        <v>7.0000000000000007E-2</v>
      </c>
      <c r="P5" s="19">
        <v>0.08</v>
      </c>
    </row>
    <row r="6" spans="1:16" ht="15.75" thickBot="1">
      <c r="A6" s="20" t="s">
        <v>16</v>
      </c>
      <c r="B6" s="7">
        <v>6085</v>
      </c>
      <c r="C6" s="9">
        <v>0.12</v>
      </c>
      <c r="D6" s="7">
        <v>22668</v>
      </c>
      <c r="E6" s="9">
        <v>0.14000000000000001</v>
      </c>
      <c r="F6" s="11">
        <v>54</v>
      </c>
      <c r="G6" s="12">
        <v>0.14000000000000001</v>
      </c>
      <c r="H6" s="13">
        <v>231</v>
      </c>
      <c r="I6" s="9">
        <v>0.16</v>
      </c>
      <c r="J6" s="7">
        <v>2285</v>
      </c>
      <c r="K6" s="9">
        <v>0.23</v>
      </c>
      <c r="L6" s="13">
        <v>9</v>
      </c>
      <c r="M6" s="9">
        <v>0.02</v>
      </c>
      <c r="N6" s="7">
        <v>43849</v>
      </c>
      <c r="O6" s="9">
        <v>0.36</v>
      </c>
      <c r="P6" s="12">
        <v>0.19</v>
      </c>
    </row>
    <row r="7" spans="1:16" ht="15.75" thickBot="1">
      <c r="A7" s="14" t="s">
        <v>17</v>
      </c>
      <c r="B7" s="15">
        <v>11534</v>
      </c>
      <c r="C7" s="16">
        <v>0.22</v>
      </c>
      <c r="D7" s="21">
        <v>11166</v>
      </c>
      <c r="E7" s="16">
        <v>7.0000000000000007E-2</v>
      </c>
      <c r="F7" s="18">
        <v>19</v>
      </c>
      <c r="G7" s="19">
        <v>0.05</v>
      </c>
      <c r="H7" s="17">
        <v>84</v>
      </c>
      <c r="I7" s="16">
        <v>0.06</v>
      </c>
      <c r="J7" s="17">
        <v>515</v>
      </c>
      <c r="K7" s="16">
        <v>0.05</v>
      </c>
      <c r="L7" s="17">
        <v>69</v>
      </c>
      <c r="M7" s="16">
        <v>0.13</v>
      </c>
      <c r="N7" s="15">
        <v>16728</v>
      </c>
      <c r="O7" s="16">
        <v>0.14000000000000001</v>
      </c>
      <c r="P7" s="19">
        <v>0.09</v>
      </c>
    </row>
    <row r="8" spans="1:16" ht="15.75" thickBot="1">
      <c r="A8" s="6" t="s">
        <v>18</v>
      </c>
      <c r="B8" s="7">
        <v>2448</v>
      </c>
      <c r="C8" s="9">
        <v>0.05</v>
      </c>
      <c r="D8" s="10">
        <v>28701</v>
      </c>
      <c r="E8" s="9">
        <v>0.18</v>
      </c>
      <c r="F8" s="11">
        <v>13</v>
      </c>
      <c r="G8" s="12">
        <v>0.03</v>
      </c>
      <c r="H8" s="13">
        <v>107</v>
      </c>
      <c r="I8" s="9">
        <v>0.08</v>
      </c>
      <c r="J8" s="13">
        <v>526</v>
      </c>
      <c r="K8" s="9">
        <v>0.05</v>
      </c>
      <c r="L8" s="13">
        <v>81</v>
      </c>
      <c r="M8" s="9">
        <v>0.15</v>
      </c>
      <c r="N8" s="13">
        <v>12655</v>
      </c>
      <c r="O8" s="9">
        <v>0.09</v>
      </c>
      <c r="P8" s="12">
        <v>0.1</v>
      </c>
    </row>
    <row r="9" spans="1:16" ht="15.75" thickBot="1">
      <c r="A9" s="22" t="s">
        <v>19</v>
      </c>
      <c r="B9" s="17">
        <v>767</v>
      </c>
      <c r="C9" s="16">
        <v>0.01</v>
      </c>
      <c r="D9" s="17" t="s">
        <v>14</v>
      </c>
      <c r="E9" s="17" t="s">
        <v>14</v>
      </c>
      <c r="F9" s="18">
        <v>4</v>
      </c>
      <c r="G9" s="19">
        <v>0.01</v>
      </c>
      <c r="H9" s="17">
        <v>16</v>
      </c>
      <c r="I9" s="16">
        <v>0.01</v>
      </c>
      <c r="J9" s="17">
        <v>122</v>
      </c>
      <c r="K9" s="16">
        <v>0.01</v>
      </c>
      <c r="L9" s="17">
        <v>3</v>
      </c>
      <c r="M9" s="16">
        <v>0.01</v>
      </c>
      <c r="N9" s="15">
        <v>2710</v>
      </c>
      <c r="O9" s="16">
        <v>0.02</v>
      </c>
      <c r="P9" s="19">
        <v>0.01</v>
      </c>
    </row>
    <row r="10" spans="1:16" ht="15.75" thickBot="1">
      <c r="A10" s="20" t="s">
        <v>20</v>
      </c>
      <c r="B10" s="7">
        <v>2180</v>
      </c>
      <c r="C10" s="9">
        <v>0.04</v>
      </c>
      <c r="D10" s="7">
        <v>5770</v>
      </c>
      <c r="E10" s="9">
        <v>0.04</v>
      </c>
      <c r="F10" s="11">
        <v>57</v>
      </c>
      <c r="G10" s="12">
        <v>0.15</v>
      </c>
      <c r="H10" s="13">
        <v>212</v>
      </c>
      <c r="I10" s="9">
        <v>0.15</v>
      </c>
      <c r="J10" s="7">
        <v>1955</v>
      </c>
      <c r="K10" s="9">
        <v>0.2</v>
      </c>
      <c r="L10" s="13">
        <v>75</v>
      </c>
      <c r="M10" s="9">
        <v>0.14000000000000001</v>
      </c>
      <c r="N10" s="7">
        <v>13570</v>
      </c>
      <c r="O10" s="9">
        <v>0.11</v>
      </c>
      <c r="P10" s="12">
        <v>0.15</v>
      </c>
    </row>
    <row r="11" spans="1:16" ht="15.75" thickBot="1">
      <c r="A11" s="22" t="s">
        <v>21</v>
      </c>
      <c r="B11" s="15">
        <v>1403</v>
      </c>
      <c r="C11" s="16">
        <v>0.03</v>
      </c>
      <c r="D11" s="17" t="s">
        <v>14</v>
      </c>
      <c r="E11" s="17" t="s">
        <v>14</v>
      </c>
      <c r="F11" s="18">
        <v>16</v>
      </c>
      <c r="G11" s="19">
        <v>0.04</v>
      </c>
      <c r="H11" s="17">
        <v>102</v>
      </c>
      <c r="I11" s="16">
        <v>7.0000000000000007E-2</v>
      </c>
      <c r="J11" s="17">
        <v>298</v>
      </c>
      <c r="K11" s="16">
        <v>0.03</v>
      </c>
      <c r="L11" s="17" t="s">
        <v>14</v>
      </c>
      <c r="M11" s="17" t="s">
        <v>14</v>
      </c>
      <c r="N11" s="15">
        <v>1439</v>
      </c>
      <c r="O11" s="16">
        <v>0.01</v>
      </c>
      <c r="P11" s="19">
        <v>0.04</v>
      </c>
    </row>
    <row r="12" spans="1:16" ht="15.75" thickBot="1">
      <c r="A12" s="6" t="s">
        <v>22</v>
      </c>
      <c r="B12" s="13" t="s">
        <v>14</v>
      </c>
      <c r="C12" s="13" t="s">
        <v>14</v>
      </c>
      <c r="D12" s="13" t="s">
        <v>14</v>
      </c>
      <c r="E12" s="13" t="s">
        <v>14</v>
      </c>
      <c r="F12" s="11"/>
      <c r="G12" s="12">
        <v>0</v>
      </c>
      <c r="H12" s="13" t="s">
        <v>23</v>
      </c>
      <c r="I12" s="13" t="s">
        <v>23</v>
      </c>
      <c r="J12" s="13" t="s">
        <v>14</v>
      </c>
      <c r="K12" s="13" t="s">
        <v>14</v>
      </c>
      <c r="L12" s="13" t="s">
        <v>14</v>
      </c>
      <c r="M12" s="13" t="s">
        <v>14</v>
      </c>
      <c r="N12" s="13" t="s">
        <v>14</v>
      </c>
      <c r="O12" s="13" t="s">
        <v>14</v>
      </c>
      <c r="P12" s="13" t="s">
        <v>14</v>
      </c>
    </row>
    <row r="13" spans="1:16" ht="15.75" thickBot="1">
      <c r="A13" s="22" t="s">
        <v>24</v>
      </c>
      <c r="B13" s="17" t="s">
        <v>14</v>
      </c>
      <c r="C13" s="17" t="s">
        <v>14</v>
      </c>
      <c r="D13" s="17" t="s">
        <v>14</v>
      </c>
      <c r="E13" s="17" t="s">
        <v>14</v>
      </c>
      <c r="F13" s="18">
        <v>1</v>
      </c>
      <c r="G13" s="19">
        <v>0</v>
      </c>
      <c r="H13" s="17" t="s">
        <v>23</v>
      </c>
      <c r="I13" s="17" t="s">
        <v>23</v>
      </c>
      <c r="J13" s="17" t="s">
        <v>14</v>
      </c>
      <c r="K13" s="17" t="s">
        <v>14</v>
      </c>
      <c r="L13" s="17" t="s">
        <v>14</v>
      </c>
      <c r="M13" s="17" t="s">
        <v>14</v>
      </c>
      <c r="N13" s="17" t="s">
        <v>14</v>
      </c>
      <c r="O13" s="17" t="s">
        <v>14</v>
      </c>
      <c r="P13" s="17" t="s">
        <v>14</v>
      </c>
    </row>
    <row r="14" spans="1:16" ht="15.75" thickBot="1">
      <c r="A14" s="6" t="s">
        <v>25</v>
      </c>
      <c r="B14" s="7">
        <v>3017</v>
      </c>
      <c r="C14" s="9">
        <v>0.06</v>
      </c>
      <c r="D14" s="11">
        <v>681</v>
      </c>
      <c r="E14" s="9">
        <v>0</v>
      </c>
      <c r="F14" s="11">
        <v>7</v>
      </c>
      <c r="G14" s="12">
        <v>0.02</v>
      </c>
      <c r="H14" s="13">
        <v>22</v>
      </c>
      <c r="I14" s="9">
        <v>0.02</v>
      </c>
      <c r="J14" s="13">
        <v>160</v>
      </c>
      <c r="K14" s="9">
        <v>0.02</v>
      </c>
      <c r="L14" s="13" t="s">
        <v>14</v>
      </c>
      <c r="M14" s="13" t="s">
        <v>14</v>
      </c>
      <c r="N14" s="13" t="s">
        <v>14</v>
      </c>
      <c r="O14" s="13" t="s">
        <v>14</v>
      </c>
      <c r="P14" s="12">
        <v>0.02</v>
      </c>
    </row>
    <row r="15" spans="1:16" ht="15.75" thickBot="1">
      <c r="A15" s="14" t="s">
        <v>26</v>
      </c>
      <c r="B15" s="17">
        <v>665</v>
      </c>
      <c r="C15" s="16">
        <v>0.01</v>
      </c>
      <c r="D15" s="17" t="s">
        <v>14</v>
      </c>
      <c r="E15" s="17" t="s">
        <v>14</v>
      </c>
      <c r="F15" s="18">
        <v>6</v>
      </c>
      <c r="G15" s="19">
        <v>0.02</v>
      </c>
      <c r="H15" s="17">
        <v>1</v>
      </c>
      <c r="I15" s="16">
        <v>0</v>
      </c>
      <c r="J15" s="17" t="s">
        <v>14</v>
      </c>
      <c r="K15" s="17" t="s">
        <v>14</v>
      </c>
      <c r="L15" s="17" t="s">
        <v>14</v>
      </c>
      <c r="M15" s="17" t="s">
        <v>14</v>
      </c>
      <c r="N15" s="17" t="s">
        <v>14</v>
      </c>
      <c r="O15" s="17" t="s">
        <v>14</v>
      </c>
      <c r="P15" s="16">
        <v>0</v>
      </c>
    </row>
    <row r="16" spans="1:16" ht="15.75" thickBot="1">
      <c r="A16" s="20" t="s">
        <v>27</v>
      </c>
      <c r="B16" s="7">
        <v>10227</v>
      </c>
      <c r="C16" s="9">
        <v>0.2</v>
      </c>
      <c r="D16" s="10">
        <v>47268</v>
      </c>
      <c r="E16" s="9">
        <v>0.28999999999999998</v>
      </c>
      <c r="F16" s="11">
        <v>61</v>
      </c>
      <c r="G16" s="12">
        <v>0.16</v>
      </c>
      <c r="H16" s="13">
        <v>182</v>
      </c>
      <c r="I16" s="9">
        <v>0.13</v>
      </c>
      <c r="J16" s="13">
        <v>911</v>
      </c>
      <c r="K16" s="9">
        <v>0.09</v>
      </c>
      <c r="L16" s="13">
        <v>90</v>
      </c>
      <c r="M16" s="9">
        <v>0.17</v>
      </c>
      <c r="N16" s="7">
        <v>4708</v>
      </c>
      <c r="O16" s="9">
        <v>0.04</v>
      </c>
      <c r="P16" s="12">
        <v>0.11</v>
      </c>
    </row>
    <row r="17" spans="1:16" ht="15.75" thickBot="1">
      <c r="A17" s="22" t="s">
        <v>28</v>
      </c>
      <c r="B17" s="15">
        <v>1591</v>
      </c>
      <c r="C17" s="16">
        <v>0.03</v>
      </c>
      <c r="D17" s="17" t="s">
        <v>14</v>
      </c>
      <c r="E17" s="17" t="s">
        <v>14</v>
      </c>
      <c r="F17" s="18">
        <v>14</v>
      </c>
      <c r="G17" s="19">
        <v>0.04</v>
      </c>
      <c r="H17" s="17">
        <v>29</v>
      </c>
      <c r="I17" s="16">
        <v>0.02</v>
      </c>
      <c r="J17" s="17">
        <v>710</v>
      </c>
      <c r="K17" s="16">
        <v>7.0000000000000007E-2</v>
      </c>
      <c r="L17" s="17">
        <v>84</v>
      </c>
      <c r="M17" s="16">
        <v>0.16</v>
      </c>
      <c r="N17" s="15">
        <v>10738</v>
      </c>
      <c r="O17" s="16">
        <v>0.09</v>
      </c>
      <c r="P17" s="19">
        <v>0.08</v>
      </c>
    </row>
    <row r="18" spans="1:16" ht="15.75" thickBot="1">
      <c r="A18" s="20" t="s">
        <v>29</v>
      </c>
      <c r="B18" s="13" t="s">
        <v>30</v>
      </c>
      <c r="C18" s="13" t="s">
        <v>14</v>
      </c>
      <c r="D18" s="10">
        <v>15120</v>
      </c>
      <c r="E18" s="9">
        <v>0.09</v>
      </c>
      <c r="F18" s="11">
        <v>25</v>
      </c>
      <c r="G18" s="12">
        <v>7.0000000000000007E-2</v>
      </c>
      <c r="H18" s="13">
        <v>129</v>
      </c>
      <c r="I18" s="9">
        <v>0.09</v>
      </c>
      <c r="J18" s="13">
        <v>184</v>
      </c>
      <c r="K18" s="9">
        <v>0.02</v>
      </c>
      <c r="L18" s="13" t="s">
        <v>14</v>
      </c>
      <c r="M18" s="13" t="s">
        <v>14</v>
      </c>
      <c r="N18" s="13">
        <v>796</v>
      </c>
      <c r="O18" s="9">
        <v>0.01</v>
      </c>
      <c r="P18" s="12">
        <v>0.04</v>
      </c>
    </row>
    <row r="19" spans="1:16" ht="15.75" thickBot="1">
      <c r="A19" s="14" t="s">
        <v>31</v>
      </c>
      <c r="B19" s="17">
        <v>225</v>
      </c>
      <c r="C19" s="16">
        <v>0</v>
      </c>
      <c r="D19" s="17" t="s">
        <v>14</v>
      </c>
      <c r="E19" s="17" t="s">
        <v>14</v>
      </c>
      <c r="F19" s="18">
        <v>4</v>
      </c>
      <c r="G19" s="19">
        <v>0.01</v>
      </c>
      <c r="H19" s="17" t="s">
        <v>23</v>
      </c>
      <c r="I19" s="17" t="s">
        <v>23</v>
      </c>
      <c r="J19" s="17" t="s">
        <v>14</v>
      </c>
      <c r="K19" s="17" t="s">
        <v>14</v>
      </c>
      <c r="L19" s="17" t="s">
        <v>14</v>
      </c>
      <c r="M19" s="17" t="s">
        <v>14</v>
      </c>
      <c r="N19" s="17" t="s">
        <v>14</v>
      </c>
      <c r="O19" s="17" t="s">
        <v>14</v>
      </c>
      <c r="P19" s="17" t="s">
        <v>14</v>
      </c>
    </row>
    <row r="20" spans="1:16" ht="15.75" thickBot="1">
      <c r="A20" s="20" t="s">
        <v>32</v>
      </c>
      <c r="B20" s="7">
        <v>4160</v>
      </c>
      <c r="C20" s="9">
        <v>0.08</v>
      </c>
      <c r="D20" s="10">
        <v>7761</v>
      </c>
      <c r="E20" s="9">
        <v>0.05</v>
      </c>
      <c r="F20" s="11">
        <v>14</v>
      </c>
      <c r="G20" s="12">
        <v>0.04</v>
      </c>
      <c r="H20" s="13">
        <v>24</v>
      </c>
      <c r="I20" s="9">
        <v>0.02</v>
      </c>
      <c r="J20" s="13">
        <v>184</v>
      </c>
      <c r="K20" s="9">
        <v>0.02</v>
      </c>
      <c r="L20" s="13" t="s">
        <v>14</v>
      </c>
      <c r="M20" s="13" t="s">
        <v>14</v>
      </c>
      <c r="N20" s="7">
        <v>2667</v>
      </c>
      <c r="O20" s="9">
        <v>0.02</v>
      </c>
      <c r="P20" s="12">
        <v>0.02</v>
      </c>
    </row>
    <row r="21" spans="1:16" ht="15.75" thickBot="1">
      <c r="A21" s="22" t="s">
        <v>33</v>
      </c>
      <c r="B21" s="17">
        <v>726</v>
      </c>
      <c r="C21" s="16">
        <v>0.01</v>
      </c>
      <c r="D21" s="21">
        <v>5566</v>
      </c>
      <c r="E21" s="16">
        <v>0.03</v>
      </c>
      <c r="F21" s="18">
        <v>12</v>
      </c>
      <c r="G21" s="19">
        <v>0.03</v>
      </c>
      <c r="H21" s="17">
        <v>49</v>
      </c>
      <c r="I21" s="16">
        <v>0.03</v>
      </c>
      <c r="J21" s="17">
        <v>743</v>
      </c>
      <c r="K21" s="16">
        <v>0.08</v>
      </c>
      <c r="L21" s="17">
        <v>69</v>
      </c>
      <c r="M21" s="16">
        <v>0.13</v>
      </c>
      <c r="N21" s="15">
        <v>4206</v>
      </c>
      <c r="O21" s="16">
        <v>0.03</v>
      </c>
      <c r="P21" s="19">
        <v>7.0000000000000007E-2</v>
      </c>
    </row>
    <row r="22" spans="1:16" ht="15.75" thickBot="1">
      <c r="A22" s="23" t="s">
        <v>34</v>
      </c>
      <c r="B22" s="24">
        <v>51594</v>
      </c>
      <c r="C22" s="25">
        <v>1</v>
      </c>
      <c r="D22" s="24">
        <v>163595</v>
      </c>
      <c r="E22" s="25">
        <v>1</v>
      </c>
      <c r="F22" s="26">
        <v>374</v>
      </c>
      <c r="G22" s="27">
        <v>1</v>
      </c>
      <c r="H22" s="24">
        <v>1401</v>
      </c>
      <c r="I22" s="25">
        <v>1</v>
      </c>
      <c r="J22" s="24">
        <v>9941</v>
      </c>
      <c r="K22" s="25">
        <v>1</v>
      </c>
      <c r="L22" s="28">
        <v>525</v>
      </c>
      <c r="M22" s="25">
        <v>1</v>
      </c>
      <c r="N22" s="24">
        <v>123253</v>
      </c>
      <c r="O22" s="25">
        <v>1</v>
      </c>
      <c r="P22" s="28" t="s">
        <v>14</v>
      </c>
    </row>
  </sheetData>
  <mergeCells count="9">
    <mergeCell ref="B1:C1"/>
    <mergeCell ref="B2:C2"/>
    <mergeCell ref="D1:E2"/>
    <mergeCell ref="F1:G2"/>
    <mergeCell ref="H1:P1"/>
    <mergeCell ref="H2:I2"/>
    <mergeCell ref="J2:K2"/>
    <mergeCell ref="L2:M2"/>
    <mergeCell ref="N2:O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"/>
  <dimension ref="A1:W26"/>
  <sheetViews>
    <sheetView workbookViewId="0"/>
  </sheetViews>
  <sheetFormatPr defaultRowHeight="15"/>
  <sheetData>
    <row r="1" spans="1:23" ht="15.75" thickBot="1">
      <c r="A1" s="1" t="s">
        <v>69</v>
      </c>
      <c r="B1" s="417" t="s">
        <v>0</v>
      </c>
      <c r="C1" s="418"/>
      <c r="D1" s="417" t="s">
        <v>2</v>
      </c>
      <c r="E1" s="418"/>
      <c r="F1" s="417" t="s">
        <v>3</v>
      </c>
      <c r="G1" s="418"/>
      <c r="H1" s="421" t="s">
        <v>4</v>
      </c>
      <c r="I1" s="422"/>
      <c r="J1" s="422"/>
      <c r="K1" s="422"/>
      <c r="L1" s="422"/>
      <c r="M1" s="422"/>
      <c r="N1" s="422"/>
      <c r="O1" s="422"/>
      <c r="P1" s="423"/>
      <c r="T1" s="39" t="s">
        <v>68</v>
      </c>
      <c r="U1" s="39"/>
      <c r="V1" s="39"/>
      <c r="W1" s="39"/>
    </row>
    <row r="2" spans="1:23" ht="46.5" thickBot="1">
      <c r="A2" s="2"/>
      <c r="B2" s="419" t="s">
        <v>1</v>
      </c>
      <c r="C2" s="420"/>
      <c r="D2" s="419"/>
      <c r="E2" s="420"/>
      <c r="F2" s="419"/>
      <c r="G2" s="420"/>
      <c r="H2" s="424" t="s">
        <v>5</v>
      </c>
      <c r="I2" s="425"/>
      <c r="J2" s="424" t="s">
        <v>6</v>
      </c>
      <c r="K2" s="425"/>
      <c r="L2" s="424" t="s">
        <v>7</v>
      </c>
      <c r="M2" s="425"/>
      <c r="N2" s="424" t="s">
        <v>8</v>
      </c>
      <c r="O2" s="425"/>
      <c r="P2" s="3" t="s">
        <v>9</v>
      </c>
      <c r="Q2" t="s">
        <v>62</v>
      </c>
    </row>
    <row r="3" spans="1:23" ht="61.5" thickBot="1">
      <c r="A3" s="30" t="s">
        <v>10</v>
      </c>
      <c r="B3" s="31" t="s">
        <v>35</v>
      </c>
      <c r="C3" s="31" t="s">
        <v>36</v>
      </c>
      <c r="D3" s="31" t="s">
        <v>37</v>
      </c>
      <c r="E3" s="31" t="s">
        <v>38</v>
      </c>
      <c r="F3" s="31" t="s">
        <v>39</v>
      </c>
      <c r="G3" s="31" t="s">
        <v>40</v>
      </c>
      <c r="H3" s="31" t="s">
        <v>41</v>
      </c>
      <c r="I3" s="31" t="s">
        <v>42</v>
      </c>
      <c r="J3" s="31" t="s">
        <v>43</v>
      </c>
      <c r="K3" s="31" t="s">
        <v>44</v>
      </c>
      <c r="L3" s="31" t="s">
        <v>45</v>
      </c>
      <c r="M3" s="31" t="s">
        <v>46</v>
      </c>
      <c r="N3" s="31" t="s">
        <v>47</v>
      </c>
      <c r="O3" s="31" t="s">
        <v>48</v>
      </c>
      <c r="P3" s="31" t="s">
        <v>49</v>
      </c>
      <c r="Q3" s="44" t="s">
        <v>64</v>
      </c>
      <c r="R3" s="48" t="s">
        <v>63</v>
      </c>
      <c r="T3" s="49" t="s">
        <v>65</v>
      </c>
      <c r="U3" s="50" t="s">
        <v>66</v>
      </c>
      <c r="V3" s="50" t="s">
        <v>67</v>
      </c>
    </row>
    <row r="4" spans="1:23" ht="15.75" thickBot="1">
      <c r="A4" s="6" t="s">
        <v>13</v>
      </c>
      <c r="B4" s="7">
        <v>5372</v>
      </c>
      <c r="C4" s="42">
        <f>B4/B$22</f>
        <v>0.10412063418226926</v>
      </c>
      <c r="D4" s="10">
        <v>18894</v>
      </c>
      <c r="E4" s="42">
        <f>D4/D$22</f>
        <v>0.11549252727772853</v>
      </c>
      <c r="F4" s="11">
        <v>46</v>
      </c>
      <c r="G4" s="42">
        <f>F4/F$22</f>
        <v>0.12299465240641712</v>
      </c>
      <c r="H4" s="13">
        <v>132</v>
      </c>
      <c r="I4" s="33">
        <f>H4/H$22</f>
        <v>9.421841541755889E-2</v>
      </c>
      <c r="J4" s="13">
        <v>269</v>
      </c>
      <c r="K4" s="33">
        <f>J4/J$22</f>
        <v>2.7059651946484256E-2</v>
      </c>
      <c r="L4" s="32">
        <v>0</v>
      </c>
      <c r="M4" s="33">
        <f>L4/L$22</f>
        <v>0</v>
      </c>
      <c r="N4" s="13">
        <v>287</v>
      </c>
      <c r="O4" s="33">
        <f>N4/N$22</f>
        <v>2.3285437271303739E-3</v>
      </c>
      <c r="P4" s="43">
        <f>AVERAGE(K4,M4,O4)</f>
        <v>9.7960652245382088E-3</v>
      </c>
      <c r="Q4" s="45">
        <f>AVERAGE(C4,E4,G4,P4)</f>
        <v>8.8100969772738277E-2</v>
      </c>
      <c r="R4" s="47">
        <f t="shared" ref="R4:R11" si="0">RANK(Q4,Composite,1)</f>
        <v>11</v>
      </c>
      <c r="T4" s="54" t="s">
        <v>13</v>
      </c>
      <c r="U4" s="57">
        <v>13008</v>
      </c>
      <c r="V4" s="58">
        <v>0.11</v>
      </c>
    </row>
    <row r="5" spans="1:23" ht="15.75" thickBot="1">
      <c r="A5" s="14" t="s">
        <v>15</v>
      </c>
      <c r="B5" s="15">
        <v>1194</v>
      </c>
      <c r="C5" s="42">
        <f t="shared" ref="C5:E22" si="1">B5/B$22</f>
        <v>2.3142225840213977E-2</v>
      </c>
      <c r="D5" s="32">
        <v>0</v>
      </c>
      <c r="E5" s="42">
        <f t="shared" si="1"/>
        <v>0</v>
      </c>
      <c r="F5" s="18">
        <v>21</v>
      </c>
      <c r="G5" s="42">
        <f t="shared" ref="G5" si="2">F5/F$22</f>
        <v>5.6149732620320858E-2</v>
      </c>
      <c r="H5" s="17">
        <v>81</v>
      </c>
      <c r="I5" s="33">
        <f t="shared" ref="I5" si="3">H5/H$22</f>
        <v>5.7815845824411134E-2</v>
      </c>
      <c r="J5" s="15">
        <v>1079</v>
      </c>
      <c r="K5" s="33">
        <f t="shared" ref="K5" si="4">J5/J$22</f>
        <v>0.1085403882909164</v>
      </c>
      <c r="L5" s="17">
        <v>45</v>
      </c>
      <c r="M5" s="33">
        <f t="shared" ref="M5" si="5">L5/L$22</f>
        <v>8.5714285714285715E-2</v>
      </c>
      <c r="N5" s="15">
        <v>8900</v>
      </c>
      <c r="O5" s="33">
        <f t="shared" ref="O5" si="6">N5/N$22</f>
        <v>7.2209195719373967E-2</v>
      </c>
      <c r="P5" s="43">
        <f t="shared" ref="P5:P11" si="7">AVERAGE(K5,M5,O5)</f>
        <v>8.8821289908192033E-2</v>
      </c>
      <c r="Q5" s="45">
        <f t="shared" ref="Q5:Q22" si="8">AVERAGE(C5,E5,G5,P5)</f>
        <v>4.2028312092181719E-2</v>
      </c>
      <c r="R5" s="47">
        <f t="shared" si="0"/>
        <v>8</v>
      </c>
      <c r="T5" s="54" t="s">
        <v>15</v>
      </c>
      <c r="U5" s="57">
        <v>13921</v>
      </c>
      <c r="V5" s="58">
        <v>0.04</v>
      </c>
    </row>
    <row r="6" spans="1:23" ht="15.75" thickBot="1">
      <c r="A6" s="20" t="s">
        <v>16</v>
      </c>
      <c r="B6" s="7">
        <v>6085</v>
      </c>
      <c r="C6" s="42">
        <f t="shared" si="1"/>
        <v>0.11794007055083924</v>
      </c>
      <c r="D6" s="7">
        <v>22668</v>
      </c>
      <c r="E6" s="42">
        <f t="shared" si="1"/>
        <v>0.13856169198325133</v>
      </c>
      <c r="F6" s="11">
        <v>54</v>
      </c>
      <c r="G6" s="42">
        <f t="shared" ref="G6" si="9">F6/F$22</f>
        <v>0.14438502673796791</v>
      </c>
      <c r="H6" s="13">
        <v>231</v>
      </c>
      <c r="I6" s="33">
        <f t="shared" ref="I6" si="10">H6/H$22</f>
        <v>0.16488222698072805</v>
      </c>
      <c r="J6" s="7">
        <v>2285</v>
      </c>
      <c r="K6" s="33">
        <f t="shared" ref="K6" si="11">J6/J$22</f>
        <v>0.22985615129262649</v>
      </c>
      <c r="L6" s="13">
        <v>9</v>
      </c>
      <c r="M6" s="33">
        <f t="shared" ref="M6" si="12">L6/L$22</f>
        <v>1.7142857142857144E-2</v>
      </c>
      <c r="N6" s="7">
        <v>43849</v>
      </c>
      <c r="O6" s="33">
        <f t="shared" ref="O6" si="13">N6/N$22</f>
        <v>0.35576415989874488</v>
      </c>
      <c r="P6" s="43">
        <f t="shared" si="7"/>
        <v>0.20092105611140951</v>
      </c>
      <c r="Q6" s="45">
        <f t="shared" si="8"/>
        <v>0.150451961345867</v>
      </c>
      <c r="R6" s="47">
        <f t="shared" si="0"/>
        <v>15</v>
      </c>
      <c r="T6" s="54" t="s">
        <v>16</v>
      </c>
      <c r="U6" s="55">
        <v>33436</v>
      </c>
      <c r="V6" s="53">
        <v>0.12</v>
      </c>
    </row>
    <row r="7" spans="1:23" ht="15.75" thickBot="1">
      <c r="A7" s="14" t="s">
        <v>17</v>
      </c>
      <c r="B7" s="15">
        <v>11534</v>
      </c>
      <c r="C7" s="42">
        <f t="shared" si="1"/>
        <v>0.22355312633251928</v>
      </c>
      <c r="D7" s="21">
        <v>11166</v>
      </c>
      <c r="E7" s="42">
        <f t="shared" si="1"/>
        <v>6.8253919740823371E-2</v>
      </c>
      <c r="F7" s="18">
        <v>19</v>
      </c>
      <c r="G7" s="42">
        <f t="shared" ref="G7" si="14">F7/F$22</f>
        <v>5.0802139037433157E-2</v>
      </c>
      <c r="H7" s="17">
        <v>84</v>
      </c>
      <c r="I7" s="33">
        <f t="shared" ref="I7" si="15">H7/H$22</f>
        <v>5.9957173447537475E-2</v>
      </c>
      <c r="J7" s="17">
        <v>515</v>
      </c>
      <c r="K7" s="33">
        <f t="shared" ref="K7" si="16">J7/J$22</f>
        <v>5.1805653354793278E-2</v>
      </c>
      <c r="L7" s="17">
        <v>69</v>
      </c>
      <c r="M7" s="33">
        <f t="shared" ref="M7" si="17">L7/L$22</f>
        <v>0.13142857142857142</v>
      </c>
      <c r="N7" s="15">
        <v>16728</v>
      </c>
      <c r="O7" s="33">
        <f t="shared" ref="O7" si="18">N7/N$22</f>
        <v>0.13572083438131324</v>
      </c>
      <c r="P7" s="43">
        <f t="shared" si="7"/>
        <v>0.10631835305489264</v>
      </c>
      <c r="Q7" s="45">
        <f t="shared" si="8"/>
        <v>0.1122318845414171</v>
      </c>
      <c r="R7" s="47">
        <f t="shared" si="0"/>
        <v>14</v>
      </c>
      <c r="T7" s="56" t="s">
        <v>17</v>
      </c>
      <c r="U7" s="52">
        <v>11534</v>
      </c>
      <c r="V7" s="53">
        <v>0.12</v>
      </c>
    </row>
    <row r="8" spans="1:23" ht="15.75" thickBot="1">
      <c r="A8" s="6" t="s">
        <v>18</v>
      </c>
      <c r="B8" s="7">
        <v>2448</v>
      </c>
      <c r="C8" s="42">
        <f t="shared" si="1"/>
        <v>4.7447377602046752E-2</v>
      </c>
      <c r="D8" s="10">
        <v>28701</v>
      </c>
      <c r="E8" s="42">
        <f t="shared" si="1"/>
        <v>0.175439347168312</v>
      </c>
      <c r="F8" s="11">
        <v>13</v>
      </c>
      <c r="G8" s="42">
        <f t="shared" ref="G8" si="19">F8/F$22</f>
        <v>3.4759358288770054E-2</v>
      </c>
      <c r="H8" s="13">
        <v>107</v>
      </c>
      <c r="I8" s="33">
        <f t="shared" ref="I8" si="20">H8/H$22</f>
        <v>7.6374018558172732E-2</v>
      </c>
      <c r="J8" s="13">
        <v>526</v>
      </c>
      <c r="K8" s="33">
        <f t="shared" ref="K8" si="21">J8/J$22</f>
        <v>5.2912181873051002E-2</v>
      </c>
      <c r="L8" s="13">
        <v>81</v>
      </c>
      <c r="M8" s="33">
        <f t="shared" ref="M8" si="22">L8/L$22</f>
        <v>0.15428571428571428</v>
      </c>
      <c r="N8" s="13">
        <v>12655</v>
      </c>
      <c r="O8" s="33">
        <f t="shared" ref="O8" si="23">N8/N$22</f>
        <v>0.10267498559872781</v>
      </c>
      <c r="P8" s="43">
        <f t="shared" si="7"/>
        <v>0.10329096058583102</v>
      </c>
      <c r="Q8" s="45">
        <f t="shared" si="8"/>
        <v>9.0234260911239969E-2</v>
      </c>
      <c r="R8" s="47">
        <f t="shared" si="0"/>
        <v>12</v>
      </c>
      <c r="T8" s="56" t="s">
        <v>18</v>
      </c>
      <c r="U8" s="52">
        <v>54414</v>
      </c>
      <c r="V8" s="53">
        <v>0.09</v>
      </c>
    </row>
    <row r="9" spans="1:23" ht="15.75" thickBot="1">
      <c r="A9" s="22" t="s">
        <v>19</v>
      </c>
      <c r="B9" s="17">
        <v>767</v>
      </c>
      <c r="C9" s="42">
        <f t="shared" si="1"/>
        <v>1.4866069698026903E-2</v>
      </c>
      <c r="D9" s="32">
        <v>0</v>
      </c>
      <c r="E9" s="42">
        <f t="shared" si="1"/>
        <v>0</v>
      </c>
      <c r="F9" s="18">
        <v>4</v>
      </c>
      <c r="G9" s="42">
        <f t="shared" ref="G9" si="24">F9/F$22</f>
        <v>1.06951871657754E-2</v>
      </c>
      <c r="H9" s="17">
        <v>16</v>
      </c>
      <c r="I9" s="33">
        <f t="shared" ref="I9" si="25">H9/H$22</f>
        <v>1.1420413990007138E-2</v>
      </c>
      <c r="J9" s="17">
        <v>122</v>
      </c>
      <c r="K9" s="33">
        <f t="shared" ref="K9" si="26">J9/J$22</f>
        <v>1.2272407202494718E-2</v>
      </c>
      <c r="L9" s="17">
        <v>3</v>
      </c>
      <c r="M9" s="33">
        <f t="shared" ref="M9" si="27">L9/L$22</f>
        <v>5.7142857142857143E-3</v>
      </c>
      <c r="N9" s="15">
        <v>2710</v>
      </c>
      <c r="O9" s="33">
        <f t="shared" ref="O9" si="28">N9/N$22</f>
        <v>2.1987294426910501E-2</v>
      </c>
      <c r="P9" s="43">
        <f t="shared" si="7"/>
        <v>1.3324662447896977E-2</v>
      </c>
      <c r="Q9" s="45">
        <f t="shared" si="8"/>
        <v>9.7214798279248206E-3</v>
      </c>
      <c r="R9" s="47">
        <f t="shared" si="0"/>
        <v>3</v>
      </c>
      <c r="T9" s="59" t="s">
        <v>19</v>
      </c>
      <c r="U9" s="57">
        <v>8245</v>
      </c>
      <c r="V9" s="64">
        <v>0.02</v>
      </c>
    </row>
    <row r="10" spans="1:23" ht="15.75" thickBot="1">
      <c r="A10" s="20" t="s">
        <v>20</v>
      </c>
      <c r="B10" s="7">
        <v>2180</v>
      </c>
      <c r="C10" s="42">
        <f t="shared" si="1"/>
        <v>4.2252975152149472E-2</v>
      </c>
      <c r="D10" s="7">
        <v>5770</v>
      </c>
      <c r="E10" s="42">
        <f t="shared" si="1"/>
        <v>3.5270026590054709E-2</v>
      </c>
      <c r="F10" s="11">
        <v>57</v>
      </c>
      <c r="G10" s="42">
        <f t="shared" ref="G10" si="29">F10/F$22</f>
        <v>0.15240641711229946</v>
      </c>
      <c r="H10" s="13">
        <v>212</v>
      </c>
      <c r="I10" s="33">
        <f t="shared" ref="I10" si="30">H10/H$22</f>
        <v>0.15132048536759457</v>
      </c>
      <c r="J10" s="7">
        <v>1955</v>
      </c>
      <c r="K10" s="33">
        <f t="shared" ref="K10" si="31">J10/J$22</f>
        <v>0.19666029574489488</v>
      </c>
      <c r="L10" s="13">
        <v>75</v>
      </c>
      <c r="M10" s="33">
        <f t="shared" ref="M10" si="32">L10/L$22</f>
        <v>0.14285714285714285</v>
      </c>
      <c r="N10" s="7">
        <v>13570</v>
      </c>
      <c r="O10" s="33">
        <f t="shared" ref="O10" si="33">N10/N$22</f>
        <v>0.11009873999010165</v>
      </c>
      <c r="P10" s="43">
        <f t="shared" si="7"/>
        <v>0.14987205953071314</v>
      </c>
      <c r="Q10" s="45">
        <f t="shared" si="8"/>
        <v>9.4950369596304193E-2</v>
      </c>
      <c r="R10" s="47">
        <f t="shared" si="0"/>
        <v>13</v>
      </c>
      <c r="T10" s="59" t="s">
        <v>20</v>
      </c>
      <c r="U10" s="57">
        <v>72047</v>
      </c>
      <c r="V10" s="53">
        <v>0.06</v>
      </c>
    </row>
    <row r="11" spans="1:23" ht="15.75" thickBot="1">
      <c r="A11" s="22" t="s">
        <v>21</v>
      </c>
      <c r="B11" s="15">
        <v>1403</v>
      </c>
      <c r="C11" s="42">
        <f t="shared" si="1"/>
        <v>2.7193084467186109E-2</v>
      </c>
      <c r="D11" s="32">
        <v>0</v>
      </c>
      <c r="E11" s="42">
        <f t="shared" si="1"/>
        <v>0</v>
      </c>
      <c r="F11" s="18">
        <v>16</v>
      </c>
      <c r="G11" s="42">
        <f t="shared" ref="G11" si="34">F11/F$22</f>
        <v>4.2780748663101602E-2</v>
      </c>
      <c r="H11" s="17">
        <v>102</v>
      </c>
      <c r="I11" s="33">
        <f t="shared" ref="I11" si="35">H11/H$22</f>
        <v>7.2805139186295498E-2</v>
      </c>
      <c r="J11" s="17">
        <v>298</v>
      </c>
      <c r="K11" s="33">
        <f t="shared" ref="K11" si="36">J11/J$22</f>
        <v>2.9976863494618249E-2</v>
      </c>
      <c r="L11" s="32">
        <v>0</v>
      </c>
      <c r="M11" s="33">
        <f t="shared" ref="M11" si="37">L11/L$22</f>
        <v>0</v>
      </c>
      <c r="N11" s="15">
        <v>1439</v>
      </c>
      <c r="O11" s="33">
        <f t="shared" ref="O11" si="38">N11/N$22</f>
        <v>1.1675172206761701E-2</v>
      </c>
      <c r="P11" s="43">
        <f t="shared" si="7"/>
        <v>1.3884011900459984E-2</v>
      </c>
      <c r="Q11" s="45">
        <f t="shared" si="8"/>
        <v>2.0964461257686924E-2</v>
      </c>
      <c r="R11" s="47">
        <f t="shared" si="0"/>
        <v>4</v>
      </c>
      <c r="T11" s="51" t="s">
        <v>21</v>
      </c>
      <c r="U11" s="52">
        <v>15601</v>
      </c>
      <c r="V11" s="64">
        <v>0.08</v>
      </c>
    </row>
    <row r="12" spans="1:23" ht="15.75" thickBot="1">
      <c r="A12" s="6" t="s">
        <v>22</v>
      </c>
      <c r="B12" s="34"/>
      <c r="C12" s="42"/>
      <c r="D12" s="34"/>
      <c r="E12" s="42"/>
      <c r="F12" s="36"/>
      <c r="G12" s="42"/>
      <c r="H12" s="34"/>
      <c r="I12" s="35"/>
      <c r="J12" s="34"/>
      <c r="K12" s="35"/>
      <c r="L12" s="34"/>
      <c r="M12" s="35"/>
      <c r="N12" s="34"/>
      <c r="O12" s="35"/>
      <c r="P12" s="37"/>
      <c r="Q12" s="46"/>
      <c r="R12" s="47"/>
      <c r="T12" s="56" t="s">
        <v>22</v>
      </c>
      <c r="U12" s="61">
        <v>716</v>
      </c>
      <c r="V12" s="62"/>
    </row>
    <row r="13" spans="1:23" ht="15.75" thickBot="1">
      <c r="A13" s="22" t="s">
        <v>24</v>
      </c>
      <c r="B13" s="34"/>
      <c r="C13" s="42"/>
      <c r="D13" s="34"/>
      <c r="E13" s="42"/>
      <c r="F13" s="36"/>
      <c r="G13" s="42"/>
      <c r="H13" s="34"/>
      <c r="I13" s="35"/>
      <c r="J13" s="34"/>
      <c r="K13" s="35"/>
      <c r="L13" s="34"/>
      <c r="M13" s="35"/>
      <c r="N13" s="34"/>
      <c r="O13" s="35"/>
      <c r="P13" s="37"/>
      <c r="Q13" s="46"/>
      <c r="R13" s="47"/>
      <c r="T13" s="59" t="s">
        <v>24</v>
      </c>
      <c r="U13" s="63">
        <v>258</v>
      </c>
      <c r="V13" s="62"/>
    </row>
    <row r="14" spans="1:23" ht="15.75" thickBot="1">
      <c r="A14" s="6" t="s">
        <v>25</v>
      </c>
      <c r="B14" s="7">
        <v>3017</v>
      </c>
      <c r="C14" s="42">
        <f t="shared" si="1"/>
        <v>5.8475791758731632E-2</v>
      </c>
      <c r="D14" s="11">
        <v>681</v>
      </c>
      <c r="E14" s="42">
        <f t="shared" si="1"/>
        <v>4.1627189095021239E-3</v>
      </c>
      <c r="F14" s="11">
        <v>7</v>
      </c>
      <c r="G14" s="42">
        <f t="shared" ref="G14" si="39">F14/F$22</f>
        <v>1.871657754010695E-2</v>
      </c>
      <c r="H14" s="13">
        <v>22</v>
      </c>
      <c r="I14" s="33">
        <f t="shared" ref="I14" si="40">H14/H$22</f>
        <v>1.5703069236259814E-2</v>
      </c>
      <c r="J14" s="13">
        <v>160</v>
      </c>
      <c r="K14" s="33">
        <f t="shared" ref="K14" si="41">J14/J$22</f>
        <v>1.6094960265566845E-2</v>
      </c>
      <c r="L14" s="32">
        <v>0</v>
      </c>
      <c r="M14" s="33">
        <f t="shared" ref="M14" si="42">L14/L$22</f>
        <v>0</v>
      </c>
      <c r="N14" s="32">
        <v>0</v>
      </c>
      <c r="O14" s="33">
        <f t="shared" ref="O14" si="43">N14/N$22</f>
        <v>0</v>
      </c>
      <c r="P14" s="43">
        <f t="shared" ref="P14:P22" si="44">AVERAGE(K14,M14,O14)</f>
        <v>5.3649867551889482E-3</v>
      </c>
      <c r="Q14" s="45">
        <f t="shared" si="8"/>
        <v>2.1680018740882413E-2</v>
      </c>
      <c r="R14" s="47">
        <f t="shared" ref="R14:R21" si="45">RANK(Q14,Composite,1)</f>
        <v>5</v>
      </c>
      <c r="T14" s="56" t="s">
        <v>25</v>
      </c>
      <c r="U14" s="52">
        <v>17150</v>
      </c>
      <c r="V14" s="58">
        <v>0.02</v>
      </c>
    </row>
    <row r="15" spans="1:23" ht="15.75" thickBot="1">
      <c r="A15" s="14" t="s">
        <v>26</v>
      </c>
      <c r="B15" s="17">
        <v>665</v>
      </c>
      <c r="C15" s="42">
        <f t="shared" si="1"/>
        <v>1.2889095631274954E-2</v>
      </c>
      <c r="D15" s="32">
        <v>0</v>
      </c>
      <c r="E15" s="42">
        <f t="shared" si="1"/>
        <v>0</v>
      </c>
      <c r="F15" s="18">
        <v>6</v>
      </c>
      <c r="G15" s="42">
        <f t="shared" ref="G15" si="46">F15/F$22</f>
        <v>1.6042780748663103E-2</v>
      </c>
      <c r="H15" s="17">
        <v>1</v>
      </c>
      <c r="I15" s="33">
        <f t="shared" ref="I15" si="47">H15/H$22</f>
        <v>7.1377587437544611E-4</v>
      </c>
      <c r="J15" s="32">
        <v>0</v>
      </c>
      <c r="K15" s="33">
        <f t="shared" ref="K15" si="48">J15/J$22</f>
        <v>0</v>
      </c>
      <c r="L15" s="32">
        <v>0</v>
      </c>
      <c r="M15" s="33">
        <f t="shared" ref="M15" si="49">L15/L$22</f>
        <v>0</v>
      </c>
      <c r="N15" s="32">
        <v>0</v>
      </c>
      <c r="O15" s="33">
        <f t="shared" ref="O15" si="50">N15/N$22</f>
        <v>0</v>
      </c>
      <c r="P15" s="43">
        <f t="shared" si="44"/>
        <v>0</v>
      </c>
      <c r="Q15" s="45">
        <f t="shared" si="8"/>
        <v>7.2329690949845139E-3</v>
      </c>
      <c r="R15" s="47">
        <f t="shared" si="45"/>
        <v>2</v>
      </c>
      <c r="T15" s="56" t="s">
        <v>26</v>
      </c>
      <c r="U15" s="52">
        <v>5199</v>
      </c>
      <c r="V15" s="60">
        <v>0.01</v>
      </c>
    </row>
    <row r="16" spans="1:23" ht="15.75" thickBot="1">
      <c r="A16" s="20" t="s">
        <v>27</v>
      </c>
      <c r="B16" s="7">
        <v>10227</v>
      </c>
      <c r="C16" s="42">
        <f t="shared" si="1"/>
        <v>0.19822072333992324</v>
      </c>
      <c r="D16" s="10">
        <v>47268</v>
      </c>
      <c r="E16" s="42">
        <f t="shared" si="1"/>
        <v>0.28893303585072894</v>
      </c>
      <c r="F16" s="11">
        <v>61</v>
      </c>
      <c r="G16" s="42">
        <f t="shared" ref="G16" si="51">F16/F$22</f>
        <v>0.16310160427807488</v>
      </c>
      <c r="H16" s="13">
        <v>182</v>
      </c>
      <c r="I16" s="33">
        <f t="shared" ref="I16" si="52">H16/H$22</f>
        <v>0.12990720913633119</v>
      </c>
      <c r="J16" s="13">
        <v>911</v>
      </c>
      <c r="K16" s="33">
        <f t="shared" ref="K16" si="53">J16/J$22</f>
        <v>9.1640680012071221E-2</v>
      </c>
      <c r="L16" s="13">
        <v>90</v>
      </c>
      <c r="M16" s="33">
        <f t="shared" ref="M16" si="54">L16/L$22</f>
        <v>0.17142857142857143</v>
      </c>
      <c r="N16" s="7">
        <v>4708</v>
      </c>
      <c r="O16" s="33">
        <f t="shared" ref="O16" si="55">N16/N$22</f>
        <v>3.8197853196271087E-2</v>
      </c>
      <c r="P16" s="43">
        <f t="shared" si="44"/>
        <v>0.10042236821230459</v>
      </c>
      <c r="Q16" s="45">
        <f t="shared" si="8"/>
        <v>0.18766943292025789</v>
      </c>
      <c r="R16" s="47">
        <f t="shared" si="45"/>
        <v>16</v>
      </c>
      <c r="T16" s="51" t="s">
        <v>27</v>
      </c>
      <c r="U16" s="52">
        <v>40615</v>
      </c>
      <c r="V16" s="53">
        <v>0.2</v>
      </c>
    </row>
    <row r="17" spans="1:22" ht="15.75" thickBot="1">
      <c r="A17" s="22" t="s">
        <v>28</v>
      </c>
      <c r="B17" s="15">
        <v>1591</v>
      </c>
      <c r="C17" s="42">
        <f t="shared" si="1"/>
        <v>3.0836919021591656E-2</v>
      </c>
      <c r="D17" s="32">
        <v>0</v>
      </c>
      <c r="E17" s="42">
        <f t="shared" si="1"/>
        <v>0</v>
      </c>
      <c r="F17" s="18">
        <v>14</v>
      </c>
      <c r="G17" s="42">
        <f t="shared" ref="G17" si="56">F17/F$22</f>
        <v>3.7433155080213901E-2</v>
      </c>
      <c r="H17" s="17">
        <v>29</v>
      </c>
      <c r="I17" s="33">
        <f t="shared" ref="I17" si="57">H17/H$22</f>
        <v>2.0699500356887938E-2</v>
      </c>
      <c r="J17" s="17">
        <v>710</v>
      </c>
      <c r="K17" s="33">
        <f t="shared" ref="K17" si="58">J17/J$22</f>
        <v>7.1421386178452867E-2</v>
      </c>
      <c r="L17" s="17">
        <v>84</v>
      </c>
      <c r="M17" s="33">
        <f t="shared" ref="M17" si="59">L17/L$22</f>
        <v>0.16</v>
      </c>
      <c r="N17" s="15">
        <v>10738</v>
      </c>
      <c r="O17" s="33">
        <f t="shared" ref="O17" si="60">N17/N$22</f>
        <v>8.7121611644341318E-2</v>
      </c>
      <c r="P17" s="43">
        <f t="shared" si="44"/>
        <v>0.10618099927426472</v>
      </c>
      <c r="Q17" s="45">
        <f t="shared" si="8"/>
        <v>4.3612768344017568E-2</v>
      </c>
      <c r="R17" s="47">
        <f t="shared" si="45"/>
        <v>9</v>
      </c>
      <c r="T17" s="51" t="s">
        <v>28</v>
      </c>
      <c r="U17" s="52">
        <v>12982</v>
      </c>
      <c r="V17" s="60">
        <v>0.03</v>
      </c>
    </row>
    <row r="18" spans="1:22" ht="15.75" thickBot="1">
      <c r="A18" s="20" t="s">
        <v>29</v>
      </c>
      <c r="B18" s="32">
        <v>0</v>
      </c>
      <c r="C18" s="42">
        <f t="shared" si="1"/>
        <v>0</v>
      </c>
      <c r="D18" s="10">
        <v>15120</v>
      </c>
      <c r="E18" s="42">
        <f t="shared" si="1"/>
        <v>9.242336257220575E-2</v>
      </c>
      <c r="F18" s="11">
        <v>25</v>
      </c>
      <c r="G18" s="42">
        <f t="shared" ref="G18" si="61">F18/F$22</f>
        <v>6.684491978609626E-2</v>
      </c>
      <c r="H18" s="13">
        <v>129</v>
      </c>
      <c r="I18" s="33">
        <f t="shared" ref="I18" si="62">H18/H$22</f>
        <v>9.2077087794432549E-2</v>
      </c>
      <c r="J18" s="13">
        <v>184</v>
      </c>
      <c r="K18" s="33">
        <f t="shared" ref="K18" si="63">J18/J$22</f>
        <v>1.8509204305401872E-2</v>
      </c>
      <c r="L18" s="32">
        <v>0</v>
      </c>
      <c r="M18" s="33">
        <f t="shared" ref="M18" si="64">L18/L$22</f>
        <v>0</v>
      </c>
      <c r="N18" s="13">
        <v>796</v>
      </c>
      <c r="O18" s="33">
        <f t="shared" ref="O18" si="65">N18/N$22</f>
        <v>6.4582606508563683E-3</v>
      </c>
      <c r="P18" s="43">
        <f t="shared" si="44"/>
        <v>8.3224883187527476E-3</v>
      </c>
      <c r="Q18" s="45">
        <f t="shared" si="8"/>
        <v>4.1897692669263686E-2</v>
      </c>
      <c r="R18" s="47">
        <f t="shared" si="45"/>
        <v>7</v>
      </c>
      <c r="T18" s="59" t="s">
        <v>29</v>
      </c>
      <c r="U18" s="57">
        <v>23198</v>
      </c>
      <c r="V18" s="53">
        <v>0.08</v>
      </c>
    </row>
    <row r="19" spans="1:22" ht="15.75" thickBot="1">
      <c r="A19" s="14" t="s">
        <v>31</v>
      </c>
      <c r="B19" s="17">
        <v>225</v>
      </c>
      <c r="C19" s="42">
        <f t="shared" si="1"/>
        <v>4.3609722060704735E-3</v>
      </c>
      <c r="D19" s="32">
        <v>0</v>
      </c>
      <c r="E19" s="42">
        <f t="shared" si="1"/>
        <v>0</v>
      </c>
      <c r="F19" s="18">
        <v>4</v>
      </c>
      <c r="G19" s="42">
        <f t="shared" ref="G19" si="66">F19/F$22</f>
        <v>1.06951871657754E-2</v>
      </c>
      <c r="H19" s="32">
        <v>0</v>
      </c>
      <c r="I19" s="33">
        <f t="shared" ref="I19" si="67">H19/H$22</f>
        <v>0</v>
      </c>
      <c r="J19" s="32">
        <v>0</v>
      </c>
      <c r="K19" s="33">
        <f t="shared" ref="K19" si="68">J19/J$22</f>
        <v>0</v>
      </c>
      <c r="L19" s="32">
        <v>0</v>
      </c>
      <c r="M19" s="33">
        <f t="shared" ref="M19" si="69">L19/L$22</f>
        <v>0</v>
      </c>
      <c r="N19" s="32">
        <v>0</v>
      </c>
      <c r="O19" s="33">
        <f t="shared" ref="O19" si="70">N19/N$22</f>
        <v>0</v>
      </c>
      <c r="P19" s="43">
        <f t="shared" si="44"/>
        <v>0</v>
      </c>
      <c r="Q19" s="45">
        <f t="shared" si="8"/>
        <v>3.7640398429614683E-3</v>
      </c>
      <c r="R19" s="47">
        <f t="shared" si="45"/>
        <v>1</v>
      </c>
      <c r="T19" s="54" t="s">
        <v>31</v>
      </c>
      <c r="U19" s="57">
        <v>3005</v>
      </c>
      <c r="V19" s="60">
        <v>0</v>
      </c>
    </row>
    <row r="20" spans="1:22" ht="15.75" thickBot="1">
      <c r="A20" s="20" t="s">
        <v>32</v>
      </c>
      <c r="B20" s="7">
        <v>4160</v>
      </c>
      <c r="C20" s="42">
        <f t="shared" si="1"/>
        <v>8.0629530565569638E-2</v>
      </c>
      <c r="D20" s="10">
        <v>7761</v>
      </c>
      <c r="E20" s="42">
        <f t="shared" si="1"/>
        <v>4.7440325193312753E-2</v>
      </c>
      <c r="F20" s="11">
        <v>14</v>
      </c>
      <c r="G20" s="42">
        <f t="shared" ref="G20" si="71">F20/F$22</f>
        <v>3.7433155080213901E-2</v>
      </c>
      <c r="H20" s="13">
        <v>24</v>
      </c>
      <c r="I20" s="33">
        <f t="shared" ref="I20" si="72">H20/H$22</f>
        <v>1.7130620985010708E-2</v>
      </c>
      <c r="J20" s="13">
        <v>184</v>
      </c>
      <c r="K20" s="33">
        <f t="shared" ref="K20" si="73">J20/J$22</f>
        <v>1.8509204305401872E-2</v>
      </c>
      <c r="L20" s="32">
        <v>0</v>
      </c>
      <c r="M20" s="33">
        <f t="shared" ref="M20" si="74">L20/L$22</f>
        <v>0</v>
      </c>
      <c r="N20" s="7">
        <v>2667</v>
      </c>
      <c r="O20" s="33">
        <f t="shared" ref="O20" si="75">N20/N$22</f>
        <v>2.1638418537479817E-2</v>
      </c>
      <c r="P20" s="43">
        <f t="shared" si="44"/>
        <v>1.338254094762723E-2</v>
      </c>
      <c r="Q20" s="45">
        <f t="shared" si="8"/>
        <v>4.4721387946680881E-2</v>
      </c>
      <c r="R20" s="47">
        <f t="shared" si="45"/>
        <v>10</v>
      </c>
      <c r="T20" s="51" t="s">
        <v>32</v>
      </c>
      <c r="U20" s="52">
        <v>17076</v>
      </c>
      <c r="V20" s="60">
        <v>0.05</v>
      </c>
    </row>
    <row r="21" spans="1:22" ht="15.75" thickBot="1">
      <c r="A21" s="22" t="s">
        <v>33</v>
      </c>
      <c r="B21" s="17">
        <v>726</v>
      </c>
      <c r="C21" s="42">
        <f t="shared" si="1"/>
        <v>1.4071403651587393E-2</v>
      </c>
      <c r="D21" s="21">
        <v>5566</v>
      </c>
      <c r="E21" s="42">
        <f t="shared" si="1"/>
        <v>3.4023044714080505E-2</v>
      </c>
      <c r="F21" s="18">
        <v>12</v>
      </c>
      <c r="G21" s="42">
        <f t="shared" ref="G21" si="76">F21/F$22</f>
        <v>3.2085561497326207E-2</v>
      </c>
      <c r="H21" s="17">
        <v>49</v>
      </c>
      <c r="I21" s="33">
        <f t="shared" ref="I21" si="77">H21/H$22</f>
        <v>3.4975017844396862E-2</v>
      </c>
      <c r="J21" s="17">
        <v>743</v>
      </c>
      <c r="K21" s="33">
        <f t="shared" ref="K21" si="78">J21/J$22</f>
        <v>7.4740971733226039E-2</v>
      </c>
      <c r="L21" s="17">
        <v>69</v>
      </c>
      <c r="M21" s="33">
        <f t="shared" ref="M21" si="79">L21/L$22</f>
        <v>0.13142857142857142</v>
      </c>
      <c r="N21" s="15">
        <v>4206</v>
      </c>
      <c r="O21" s="33">
        <f t="shared" ref="O21" si="80">N21/N$22</f>
        <v>3.4124930021987292E-2</v>
      </c>
      <c r="P21" s="43">
        <f t="shared" si="44"/>
        <v>8.0098157727928262E-2</v>
      </c>
      <c r="Q21" s="45">
        <f t="shared" si="8"/>
        <v>4.0069541897730591E-2</v>
      </c>
      <c r="R21" s="47">
        <f t="shared" si="45"/>
        <v>6</v>
      </c>
      <c r="T21" s="59" t="s">
        <v>33</v>
      </c>
      <c r="U21" s="57">
        <v>7869</v>
      </c>
      <c r="V21" s="58">
        <v>0.03</v>
      </c>
    </row>
    <row r="22" spans="1:22" ht="15.75" thickBot="1">
      <c r="A22" s="23" t="s">
        <v>34</v>
      </c>
      <c r="B22" s="24">
        <v>51594</v>
      </c>
      <c r="C22" s="42">
        <f t="shared" si="1"/>
        <v>1</v>
      </c>
      <c r="D22" s="24">
        <v>163595</v>
      </c>
      <c r="E22" s="42">
        <f t="shared" si="1"/>
        <v>1</v>
      </c>
      <c r="F22" s="26">
        <v>374</v>
      </c>
      <c r="G22" s="42">
        <f t="shared" ref="G22" si="81">F22/F$22</f>
        <v>1</v>
      </c>
      <c r="H22" s="24">
        <v>1401</v>
      </c>
      <c r="I22" s="33">
        <f t="shared" ref="I22" si="82">H22/H$22</f>
        <v>1</v>
      </c>
      <c r="J22" s="24">
        <v>9941</v>
      </c>
      <c r="K22" s="33">
        <f t="shared" ref="K22" si="83">J22/J$22</f>
        <v>1</v>
      </c>
      <c r="L22" s="28">
        <v>525</v>
      </c>
      <c r="M22" s="33">
        <f t="shared" ref="M22" si="84">L22/L$22</f>
        <v>1</v>
      </c>
      <c r="N22" s="24">
        <v>123253</v>
      </c>
      <c r="O22" s="33">
        <f t="shared" ref="O22" si="85">N22/N$22</f>
        <v>1</v>
      </c>
      <c r="P22" s="43">
        <f t="shared" si="44"/>
        <v>1</v>
      </c>
      <c r="Q22" s="45">
        <f t="shared" si="8"/>
        <v>1</v>
      </c>
      <c r="V22" s="8">
        <f>SUM(V4:V21)</f>
        <v>1.06</v>
      </c>
    </row>
    <row r="23" spans="1:22">
      <c r="E23" s="29"/>
    </row>
    <row r="25" spans="1:22">
      <c r="A25" s="38"/>
      <c r="B25" t="s">
        <v>50</v>
      </c>
    </row>
    <row r="26" spans="1:22">
      <c r="A26" s="39"/>
      <c r="B26" t="s">
        <v>51</v>
      </c>
    </row>
  </sheetData>
  <mergeCells count="9">
    <mergeCell ref="B1:C1"/>
    <mergeCell ref="D1:E2"/>
    <mergeCell ref="F1:G2"/>
    <mergeCell ref="H1:P1"/>
    <mergeCell ref="B2:C2"/>
    <mergeCell ref="H2:I2"/>
    <mergeCell ref="J2:K2"/>
    <mergeCell ref="L2:M2"/>
    <mergeCell ref="N2:O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E30"/>
  <sheetViews>
    <sheetView workbookViewId="0"/>
  </sheetViews>
  <sheetFormatPr defaultRowHeight="15"/>
  <cols>
    <col min="2" max="2" width="22.140625" customWidth="1"/>
    <col min="3" max="3" width="51" customWidth="1"/>
    <col min="4" max="4" width="39.7109375" customWidth="1"/>
    <col min="5" max="5" width="28.42578125" customWidth="1"/>
  </cols>
  <sheetData>
    <row r="1" spans="1:5" s="41" customFormat="1">
      <c r="A1" s="41" t="s">
        <v>97</v>
      </c>
      <c r="B1" s="41" t="s">
        <v>98</v>
      </c>
      <c r="C1" s="41" t="s">
        <v>99</v>
      </c>
      <c r="D1" s="41" t="s">
        <v>100</v>
      </c>
      <c r="E1" s="41" t="s">
        <v>102</v>
      </c>
    </row>
    <row r="2" spans="1:5">
      <c r="A2">
        <v>1</v>
      </c>
      <c r="B2" t="s">
        <v>52</v>
      </c>
      <c r="C2" t="s">
        <v>72</v>
      </c>
      <c r="D2" t="s">
        <v>105</v>
      </c>
    </row>
    <row r="3" spans="1:5">
      <c r="A3">
        <v>2</v>
      </c>
      <c r="B3" t="s">
        <v>53</v>
      </c>
      <c r="C3" t="s">
        <v>659</v>
      </c>
      <c r="D3" t="s">
        <v>660</v>
      </c>
    </row>
    <row r="4" spans="1:5">
      <c r="A4">
        <v>3</v>
      </c>
      <c r="B4" t="s">
        <v>54</v>
      </c>
      <c r="C4" t="s">
        <v>73</v>
      </c>
      <c r="D4" t="s">
        <v>106</v>
      </c>
    </row>
    <row r="5" spans="1:5">
      <c r="A5">
        <v>4</v>
      </c>
      <c r="B5" t="s">
        <v>55</v>
      </c>
      <c r="C5" t="s">
        <v>10</v>
      </c>
    </row>
    <row r="6" spans="1:5">
      <c r="A6">
        <v>5</v>
      </c>
      <c r="B6" t="s">
        <v>56</v>
      </c>
      <c r="C6" t="s">
        <v>56</v>
      </c>
      <c r="D6" t="s">
        <v>104</v>
      </c>
      <c r="E6" t="s">
        <v>103</v>
      </c>
    </row>
    <row r="7" spans="1:5">
      <c r="A7">
        <v>6</v>
      </c>
      <c r="B7" t="s">
        <v>70</v>
      </c>
      <c r="C7" t="s">
        <v>74</v>
      </c>
      <c r="E7" t="s">
        <v>109</v>
      </c>
    </row>
    <row r="8" spans="1:5">
      <c r="A8">
        <v>7</v>
      </c>
      <c r="B8" t="s">
        <v>57</v>
      </c>
      <c r="C8" t="s">
        <v>75</v>
      </c>
      <c r="E8" t="s">
        <v>110</v>
      </c>
    </row>
    <row r="9" spans="1:5">
      <c r="A9">
        <v>8</v>
      </c>
      <c r="B9" t="s">
        <v>58</v>
      </c>
      <c r="C9" t="s">
        <v>76</v>
      </c>
      <c r="E9" t="s">
        <v>108</v>
      </c>
    </row>
    <row r="10" spans="1:5">
      <c r="A10">
        <v>9</v>
      </c>
      <c r="B10" t="s">
        <v>59</v>
      </c>
      <c r="C10" t="s">
        <v>77</v>
      </c>
      <c r="E10" t="s">
        <v>108</v>
      </c>
    </row>
    <row r="11" spans="1:5">
      <c r="A11">
        <v>10</v>
      </c>
      <c r="B11" t="s">
        <v>60</v>
      </c>
      <c r="C11" t="s">
        <v>78</v>
      </c>
      <c r="D11" s="209" t="s">
        <v>189</v>
      </c>
      <c r="E11" t="s">
        <v>108</v>
      </c>
    </row>
    <row r="12" spans="1:5">
      <c r="A12">
        <v>11</v>
      </c>
      <c r="B12" t="s">
        <v>61</v>
      </c>
      <c r="C12" t="s">
        <v>79</v>
      </c>
      <c r="D12" s="209" t="s">
        <v>190</v>
      </c>
      <c r="E12" t="s">
        <v>108</v>
      </c>
    </row>
    <row r="13" spans="1:5">
      <c r="A13">
        <v>12</v>
      </c>
      <c r="B13" t="s">
        <v>35</v>
      </c>
      <c r="C13" t="s">
        <v>80</v>
      </c>
      <c r="E13" t="s">
        <v>112</v>
      </c>
    </row>
    <row r="14" spans="1:5">
      <c r="A14">
        <v>13</v>
      </c>
      <c r="B14" t="s">
        <v>36</v>
      </c>
      <c r="C14" t="s">
        <v>81</v>
      </c>
      <c r="E14" t="s">
        <v>111</v>
      </c>
    </row>
    <row r="15" spans="1:5">
      <c r="A15">
        <v>14</v>
      </c>
      <c r="B15" t="s">
        <v>37</v>
      </c>
      <c r="C15" t="s">
        <v>82</v>
      </c>
      <c r="E15" t="s">
        <v>111</v>
      </c>
    </row>
    <row r="16" spans="1:5">
      <c r="A16">
        <v>15</v>
      </c>
      <c r="B16" t="s">
        <v>38</v>
      </c>
      <c r="C16" t="s">
        <v>83</v>
      </c>
      <c r="E16" t="s">
        <v>111</v>
      </c>
    </row>
    <row r="17" spans="1:5">
      <c r="A17">
        <v>16</v>
      </c>
      <c r="B17" t="s">
        <v>39</v>
      </c>
      <c r="C17" t="s">
        <v>84</v>
      </c>
      <c r="E17" t="s">
        <v>111</v>
      </c>
    </row>
    <row r="18" spans="1:5">
      <c r="A18">
        <v>17</v>
      </c>
      <c r="B18" t="s">
        <v>40</v>
      </c>
      <c r="C18" t="s">
        <v>85</v>
      </c>
      <c r="E18" t="s">
        <v>111</v>
      </c>
    </row>
    <row r="19" spans="1:5">
      <c r="A19">
        <v>18</v>
      </c>
      <c r="B19" t="s">
        <v>41</v>
      </c>
      <c r="C19" t="s">
        <v>86</v>
      </c>
      <c r="E19" t="s">
        <v>111</v>
      </c>
    </row>
    <row r="20" spans="1:5">
      <c r="A20">
        <v>19</v>
      </c>
      <c r="B20" t="s">
        <v>42</v>
      </c>
      <c r="C20" t="s">
        <v>87</v>
      </c>
      <c r="E20" t="s">
        <v>111</v>
      </c>
    </row>
    <row r="21" spans="1:5">
      <c r="A21">
        <v>20</v>
      </c>
      <c r="B21" t="s">
        <v>43</v>
      </c>
      <c r="C21" t="s">
        <v>88</v>
      </c>
      <c r="E21" t="s">
        <v>111</v>
      </c>
    </row>
    <row r="22" spans="1:5">
      <c r="A22">
        <v>21</v>
      </c>
      <c r="B22" t="s">
        <v>44</v>
      </c>
      <c r="C22" t="s">
        <v>89</v>
      </c>
      <c r="E22" t="s">
        <v>111</v>
      </c>
    </row>
    <row r="23" spans="1:5">
      <c r="A23">
        <v>22</v>
      </c>
      <c r="B23" t="s">
        <v>45</v>
      </c>
      <c r="C23" t="s">
        <v>90</v>
      </c>
      <c r="E23" t="s">
        <v>111</v>
      </c>
    </row>
    <row r="24" spans="1:5">
      <c r="A24">
        <v>23</v>
      </c>
      <c r="B24" t="s">
        <v>46</v>
      </c>
      <c r="C24" t="s">
        <v>91</v>
      </c>
      <c r="E24" t="s">
        <v>111</v>
      </c>
    </row>
    <row r="25" spans="1:5">
      <c r="A25">
        <v>24</v>
      </c>
      <c r="B25" t="s">
        <v>47</v>
      </c>
      <c r="C25" t="s">
        <v>92</v>
      </c>
      <c r="E25" t="s">
        <v>111</v>
      </c>
    </row>
    <row r="26" spans="1:5">
      <c r="A26">
        <v>25</v>
      </c>
      <c r="B26" t="s">
        <v>48</v>
      </c>
      <c r="C26" t="s">
        <v>93</v>
      </c>
      <c r="E26" t="s">
        <v>111</v>
      </c>
    </row>
    <row r="27" spans="1:5">
      <c r="A27">
        <v>26</v>
      </c>
      <c r="B27" t="s">
        <v>49</v>
      </c>
      <c r="C27" t="s">
        <v>94</v>
      </c>
      <c r="D27" t="s">
        <v>107</v>
      </c>
      <c r="E27" t="s">
        <v>111</v>
      </c>
    </row>
    <row r="28" spans="1:5">
      <c r="A28">
        <v>27</v>
      </c>
      <c r="B28" t="s">
        <v>64</v>
      </c>
      <c r="C28" t="s">
        <v>95</v>
      </c>
      <c r="D28" t="s">
        <v>113</v>
      </c>
      <c r="E28" t="s">
        <v>101</v>
      </c>
    </row>
    <row r="29" spans="1:5">
      <c r="A29">
        <v>28</v>
      </c>
      <c r="B29" t="s">
        <v>63</v>
      </c>
      <c r="C29" t="s">
        <v>191</v>
      </c>
      <c r="E29" t="s">
        <v>108</v>
      </c>
    </row>
    <row r="30" spans="1:5">
      <c r="A30">
        <v>29</v>
      </c>
      <c r="B30" t="s">
        <v>71</v>
      </c>
      <c r="C30" t="s">
        <v>96</v>
      </c>
      <c r="D30" t="s">
        <v>186</v>
      </c>
      <c r="E30" t="s">
        <v>109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65</vt:i4>
      </vt:variant>
    </vt:vector>
  </HeadingPairs>
  <TitlesOfParts>
    <vt:vector size="83" baseType="lpstr">
      <vt:lpstr>Table of Contents</vt:lpstr>
      <vt:lpstr>BasicSetup</vt:lpstr>
      <vt:lpstr>GFM_OriginalTable</vt:lpstr>
      <vt:lpstr>GFM_Variables</vt:lpstr>
      <vt:lpstr>GFM_Data</vt:lpstr>
      <vt:lpstr>GFM_AggregAlternat</vt:lpstr>
      <vt:lpstr>C_OriginalTable</vt:lpstr>
      <vt:lpstr>C_WorkingCopy</vt:lpstr>
      <vt:lpstr>C_Variables</vt:lpstr>
      <vt:lpstr>C_Data</vt:lpstr>
      <vt:lpstr>C_WeightExperim</vt:lpstr>
      <vt:lpstr>C_WeightsFormatted</vt:lpstr>
      <vt:lpstr>C_SubindicesData</vt:lpstr>
      <vt:lpstr>C_SubindicesSummary</vt:lpstr>
      <vt:lpstr>C_LSmethodProcess</vt:lpstr>
      <vt:lpstr>C_LSmethodCompare</vt:lpstr>
      <vt:lpstr>C_MissingImputed</vt:lpstr>
      <vt:lpstr>ListOfNamedRanges</vt:lpstr>
      <vt:lpstr>CAPACITY</vt:lpstr>
      <vt:lpstr>ComMeas_Med</vt:lpstr>
      <vt:lpstr>C_SubindicesData!Composite</vt:lpstr>
      <vt:lpstr>Composite</vt:lpstr>
      <vt:lpstr>C_WeightExperim!Composite2</vt:lpstr>
      <vt:lpstr>Country</vt:lpstr>
      <vt:lpstr>CropDam_Med</vt:lpstr>
      <vt:lpstr>CropDamageWeight</vt:lpstr>
      <vt:lpstr>CropMiss</vt:lpstr>
      <vt:lpstr>C_LSmethodProcess!Crops</vt:lpstr>
      <vt:lpstr>Crops</vt:lpstr>
      <vt:lpstr>Crops2</vt:lpstr>
      <vt:lpstr>Database</vt:lpstr>
      <vt:lpstr>Dataset</vt:lpstr>
      <vt:lpstr>Dependency</vt:lpstr>
      <vt:lpstr>C_LSmethodProcess!Displace</vt:lpstr>
      <vt:lpstr>Displace</vt:lpstr>
      <vt:lpstr>Displaced_Med</vt:lpstr>
      <vt:lpstr>DisplacedMiss</vt:lpstr>
      <vt:lpstr>DisplacementWeight</vt:lpstr>
      <vt:lpstr>Economic</vt:lpstr>
      <vt:lpstr>Environment</vt:lpstr>
      <vt:lpstr>Focus</vt:lpstr>
      <vt:lpstr>GFM_OriginalTable!Focus_Data</vt:lpstr>
      <vt:lpstr>HAZARD</vt:lpstr>
      <vt:lpstr>HC_Designated</vt:lpstr>
      <vt:lpstr>HealthCenter_Med</vt:lpstr>
      <vt:lpstr>C_LSmethodProcess!HealthCenters</vt:lpstr>
      <vt:lpstr>HealthCenters</vt:lpstr>
      <vt:lpstr>HealthCenterWeight</vt:lpstr>
      <vt:lpstr>HealthMiss</vt:lpstr>
      <vt:lpstr>HHimpactLine</vt:lpstr>
      <vt:lpstr>Human</vt:lpstr>
      <vt:lpstr>Humanitarian</vt:lpstr>
      <vt:lpstr>Indicator_1</vt:lpstr>
      <vt:lpstr>Indicator_2</vt:lpstr>
      <vt:lpstr>Infrastructure</vt:lpstr>
      <vt:lpstr>Institutional</vt:lpstr>
      <vt:lpstr>Livelihood</vt:lpstr>
      <vt:lpstr>Modifier</vt:lpstr>
      <vt:lpstr>Natural</vt:lpstr>
      <vt:lpstr>OCHA_Presence</vt:lpstr>
      <vt:lpstr>OCHA_Region</vt:lpstr>
      <vt:lpstr>C_Data!PCallDisplaced</vt:lpstr>
      <vt:lpstr>Poverty</vt:lpstr>
      <vt:lpstr>RankDiff</vt:lpstr>
      <vt:lpstr>C_LSmethodCompare!Ranks2</vt:lpstr>
      <vt:lpstr>C_WeightExperim!Ranks2</vt:lpstr>
      <vt:lpstr>C_Data!RatioDisplToPop</vt:lpstr>
      <vt:lpstr>RDiffAbs</vt:lpstr>
      <vt:lpstr>Risk</vt:lpstr>
      <vt:lpstr>RiskAggregAlt</vt:lpstr>
      <vt:lpstr>RiskAltRank</vt:lpstr>
      <vt:lpstr>RiskRank</vt:lpstr>
      <vt:lpstr>SchoolMiss</vt:lpstr>
      <vt:lpstr>C_LSmethodProcess!SchoolNeeds</vt:lpstr>
      <vt:lpstr>SchoolNeeds</vt:lpstr>
      <vt:lpstr>SchoolNeeds_Med</vt:lpstr>
      <vt:lpstr>C_WeightExperim!SchoolNeedWeight</vt:lpstr>
      <vt:lpstr>ServiceDisruptLine</vt:lpstr>
      <vt:lpstr>UnknownVar</vt:lpstr>
      <vt:lpstr>VULNERABILITY</vt:lpstr>
      <vt:lpstr>W1_</vt:lpstr>
      <vt:lpstr>W2_</vt:lpstr>
      <vt:lpstr>Weights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Composite measures - Demonstration workbook</dc:title>
  <dc:creator>Aldo Benini</dc:creator>
  <dc:description>Excel demonstration workbook accompanying the note on the use of composite measure in rapid needs assessments. For ACAPS. Version 3 May 2012.</dc:description>
  <cp:lastModifiedBy>Aldo Benini</cp:lastModifiedBy>
  <dcterms:created xsi:type="dcterms:W3CDTF">2012-03-28T14:30:26Z</dcterms:created>
  <dcterms:modified xsi:type="dcterms:W3CDTF">2012-05-07T22:13:13Z</dcterms:modified>
</cp:coreProperties>
</file>